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INRESEARCH\fm\"/>
    </mc:Choice>
  </mc:AlternateContent>
  <xr:revisionPtr revIDLastSave="0" documentId="13_ncr:1_{14527509-A639-4786-B12A-66AFD153AA48}" xr6:coauthVersionLast="47" xr6:coauthVersionMax="47" xr10:uidLastSave="{00000000-0000-0000-0000-000000000000}"/>
  <bookViews>
    <workbookView xWindow="-110" yWindow="-110" windowWidth="19420" windowHeight="11500" firstSheet="1" activeTab="2" xr2:uid="{00000000-000D-0000-FFFF-FFFF00000000}"/>
  </bookViews>
  <sheets>
    <sheet name="НАСТРОЙКИ" sheetId="1" r:id="rId1"/>
    <sheet name="ДОПУЩЕНИЯ" sheetId="2" r:id="rId2"/>
    <sheet name="P&amp;L" sheetId="3" r:id="rId3"/>
    <sheet name="ОДДС" sheetId="4" r:id="rId4"/>
    <sheet name="БАЛАНС" sheetId="5" r:id="rId5"/>
    <sheet name="WACC" sheetId="6" r:id="rId6"/>
    <sheet name="DCF" sheetId="7" r:id="rId7"/>
    <sheet name="ИТОГИ" sheetId="8" r:id="rId8"/>
    <sheet name="ГРАФИКИ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8" l="1"/>
  <c r="D31" i="8"/>
  <c r="D30" i="8"/>
  <c r="D29" i="8"/>
  <c r="B12" i="8"/>
  <c r="B8" i="8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20" i="6"/>
  <c r="B19" i="6"/>
  <c r="B16" i="6"/>
  <c r="B15" i="6"/>
  <c r="B17" i="6" s="1"/>
  <c r="B7" i="6"/>
  <c r="B9" i="6" s="1"/>
  <c r="B13" i="6" s="1"/>
  <c r="B24" i="6" s="1"/>
  <c r="B25" i="6" s="1"/>
  <c r="B37" i="1" s="1"/>
  <c r="I29" i="4"/>
  <c r="H29" i="4"/>
  <c r="G29" i="4"/>
  <c r="F29" i="4"/>
  <c r="E29" i="4"/>
  <c r="D29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I19" i="4"/>
  <c r="H19" i="4"/>
  <c r="G19" i="4"/>
  <c r="F19" i="4"/>
  <c r="E19" i="4"/>
  <c r="D19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I20" i="4" s="1"/>
  <c r="H17" i="4"/>
  <c r="H20" i="4" s="1"/>
  <c r="G17" i="4"/>
  <c r="G20" i="4" s="1"/>
  <c r="F17" i="4"/>
  <c r="F20" i="4" s="1"/>
  <c r="E17" i="4"/>
  <c r="E20" i="4" s="1"/>
  <c r="AY13" i="4"/>
  <c r="AY14" i="4" s="1"/>
  <c r="AX13" i="4"/>
  <c r="AX14" i="4" s="1"/>
  <c r="AW13" i="4"/>
  <c r="AW14" i="4" s="1"/>
  <c r="AV13" i="4"/>
  <c r="AV14" i="4" s="1"/>
  <c r="AU13" i="4"/>
  <c r="AU14" i="4" s="1"/>
  <c r="AT13" i="4"/>
  <c r="AT14" i="4" s="1"/>
  <c r="AS13" i="4"/>
  <c r="AS14" i="4" s="1"/>
  <c r="AR13" i="4"/>
  <c r="AR14" i="4" s="1"/>
  <c r="AQ13" i="4"/>
  <c r="AQ14" i="4" s="1"/>
  <c r="AP13" i="4"/>
  <c r="AP14" i="4" s="1"/>
  <c r="AO13" i="4"/>
  <c r="AO14" i="4" s="1"/>
  <c r="AN13" i="4"/>
  <c r="AN14" i="4" s="1"/>
  <c r="AM13" i="4"/>
  <c r="AM14" i="4" s="1"/>
  <c r="AL13" i="4"/>
  <c r="AL14" i="4" s="1"/>
  <c r="AK13" i="4"/>
  <c r="AK14" i="4" s="1"/>
  <c r="AJ13" i="4"/>
  <c r="AJ14" i="4" s="1"/>
  <c r="AI13" i="4"/>
  <c r="AI14" i="4" s="1"/>
  <c r="AH13" i="4"/>
  <c r="AH14" i="4" s="1"/>
  <c r="AG13" i="4"/>
  <c r="AG14" i="4" s="1"/>
  <c r="AF13" i="4"/>
  <c r="AF14" i="4" s="1"/>
  <c r="AE13" i="4"/>
  <c r="AE14" i="4" s="1"/>
  <c r="AD13" i="4"/>
  <c r="AD14" i="4" s="1"/>
  <c r="AC13" i="4"/>
  <c r="AC14" i="4" s="1"/>
  <c r="AB13" i="4"/>
  <c r="AB14" i="4" s="1"/>
  <c r="AA13" i="4"/>
  <c r="AA14" i="4" s="1"/>
  <c r="Z13" i="4"/>
  <c r="Z14" i="4" s="1"/>
  <c r="Y13" i="4"/>
  <c r="Y14" i="4" s="1"/>
  <c r="X13" i="4"/>
  <c r="X14" i="4" s="1"/>
  <c r="W13" i="4"/>
  <c r="W14" i="4" s="1"/>
  <c r="V13" i="4"/>
  <c r="V14" i="4" s="1"/>
  <c r="U13" i="4"/>
  <c r="U14" i="4" s="1"/>
  <c r="T13" i="4"/>
  <c r="T14" i="4" s="1"/>
  <c r="S13" i="4"/>
  <c r="S14" i="4" s="1"/>
  <c r="R13" i="4"/>
  <c r="R14" i="4" s="1"/>
  <c r="Q13" i="4"/>
  <c r="Q14" i="4" s="1"/>
  <c r="P13" i="4"/>
  <c r="P14" i="4" s="1"/>
  <c r="O13" i="4"/>
  <c r="O14" i="4" s="1"/>
  <c r="N13" i="4"/>
  <c r="N14" i="4" s="1"/>
  <c r="M13" i="4"/>
  <c r="M14" i="4" s="1"/>
  <c r="L13" i="4"/>
  <c r="L14" i="4" s="1"/>
  <c r="K13" i="4"/>
  <c r="K14" i="4" s="1"/>
  <c r="J13" i="4"/>
  <c r="J14" i="4" s="1"/>
  <c r="I13" i="4"/>
  <c r="I14" i="4" s="1"/>
  <c r="H13" i="4"/>
  <c r="H14" i="4" s="1"/>
  <c r="G13" i="4"/>
  <c r="G14" i="4" s="1"/>
  <c r="F13" i="4"/>
  <c r="F14" i="4" s="1"/>
  <c r="E13" i="4"/>
  <c r="E14" i="4" s="1"/>
  <c r="D13" i="4"/>
  <c r="D14" i="4" s="1"/>
  <c r="C14" i="4" s="1"/>
  <c r="C13" i="4"/>
  <c r="D20" i="3"/>
  <c r="D19" i="3"/>
  <c r="D18" i="3"/>
  <c r="D17" i="3"/>
  <c r="D11" i="3"/>
  <c r="C33" i="2"/>
  <c r="D30" i="2"/>
  <c r="E29" i="2"/>
  <c r="E28" i="2"/>
  <c r="E27" i="2"/>
  <c r="E26" i="2"/>
  <c r="E25" i="2"/>
  <c r="C22" i="2"/>
  <c r="D18" i="2"/>
  <c r="E17" i="2"/>
  <c r="C16" i="2"/>
  <c r="D14" i="2"/>
  <c r="E13" i="2"/>
  <c r="C12" i="2"/>
  <c r="D10" i="2"/>
  <c r="E9" i="2"/>
  <c r="C8" i="2"/>
  <c r="B26" i="1"/>
  <c r="B18" i="1"/>
  <c r="D16" i="7" l="1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D21" i="3"/>
  <c r="E20" i="3"/>
  <c r="F29" i="2"/>
  <c r="E19" i="3"/>
  <c r="F28" i="2"/>
  <c r="F27" i="2"/>
  <c r="E18" i="3"/>
  <c r="E17" i="3"/>
  <c r="F26" i="2"/>
  <c r="E11" i="3"/>
  <c r="F25" i="2"/>
  <c r="E30" i="2"/>
  <c r="F17" i="2"/>
  <c r="E18" i="2"/>
  <c r="F13" i="2"/>
  <c r="E14" i="2"/>
  <c r="D20" i="2"/>
  <c r="F9" i="2"/>
  <c r="E10" i="2"/>
  <c r="O24" i="3"/>
  <c r="D8" i="5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N24" i="3"/>
  <c r="M24" i="3"/>
  <c r="L24" i="3"/>
  <c r="K24" i="3"/>
  <c r="J24" i="3"/>
  <c r="I24" i="3"/>
  <c r="H24" i="3"/>
  <c r="G24" i="3"/>
  <c r="F24" i="3"/>
  <c r="E24" i="3"/>
  <c r="D24" i="3"/>
  <c r="C24" i="3"/>
  <c r="AD24" i="3"/>
  <c r="C27" i="4"/>
  <c r="D17" i="4"/>
  <c r="D18" i="4"/>
  <c r="C17" i="4"/>
  <c r="C18" i="4"/>
  <c r="S23" i="5"/>
  <c r="D26" i="4"/>
  <c r="C23" i="5"/>
  <c r="D23" i="5"/>
  <c r="E23" i="5"/>
  <c r="F23" i="5"/>
  <c r="G23" i="5"/>
  <c r="H23" i="5"/>
  <c r="I23" i="5"/>
  <c r="J23" i="5"/>
  <c r="K23" i="5"/>
  <c r="L23" i="5"/>
  <c r="M23" i="5"/>
  <c r="O23" i="5"/>
  <c r="P23" i="5"/>
  <c r="Q23" i="5"/>
  <c r="R23" i="5"/>
  <c r="T23" i="5"/>
  <c r="U23" i="5"/>
  <c r="V23" i="5"/>
  <c r="W23" i="5"/>
  <c r="X23" i="5"/>
  <c r="Y23" i="5"/>
  <c r="Z23" i="5"/>
  <c r="AA23" i="5"/>
  <c r="AB23" i="5"/>
  <c r="AC23" i="5"/>
  <c r="AD23" i="5"/>
  <c r="AY23" i="5"/>
  <c r="AX23" i="5"/>
  <c r="AW23" i="5"/>
  <c r="N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E23" i="5"/>
  <c r="AF23" i="5"/>
  <c r="AG23" i="5"/>
  <c r="AH23" i="5"/>
  <c r="AI23" i="5"/>
  <c r="AJ23" i="5"/>
  <c r="D27" i="4"/>
  <c r="F20" i="3" l="1"/>
  <c r="G29" i="2"/>
  <c r="F19" i="3"/>
  <c r="G28" i="2"/>
  <c r="F18" i="3"/>
  <c r="G27" i="2"/>
  <c r="G26" i="2"/>
  <c r="F17" i="3"/>
  <c r="F21" i="3" s="1"/>
  <c r="F30" i="2"/>
  <c r="G25" i="2"/>
  <c r="F11" i="3"/>
  <c r="F18" i="2"/>
  <c r="G17" i="2"/>
  <c r="G13" i="2"/>
  <c r="F14" i="2"/>
  <c r="D24" i="2"/>
  <c r="D7" i="3"/>
  <c r="G9" i="2"/>
  <c r="F10" i="2"/>
  <c r="O8" i="4"/>
  <c r="O9" i="7"/>
  <c r="E8" i="5"/>
  <c r="D9" i="5"/>
  <c r="AY8" i="4"/>
  <c r="AY9" i="7"/>
  <c r="AX8" i="4"/>
  <c r="AX9" i="7"/>
  <c r="AW8" i="4"/>
  <c r="AW9" i="7"/>
  <c r="AV8" i="4"/>
  <c r="AV9" i="7"/>
  <c r="AU8" i="4"/>
  <c r="AU9" i="7"/>
  <c r="AT8" i="4"/>
  <c r="AT9" i="7"/>
  <c r="AS8" i="4"/>
  <c r="AS9" i="7"/>
  <c r="AR8" i="4"/>
  <c r="AR9" i="7"/>
  <c r="AQ8" i="4"/>
  <c r="AQ9" i="7"/>
  <c r="AP8" i="4"/>
  <c r="AP9" i="7"/>
  <c r="AO8" i="4"/>
  <c r="AO9" i="7"/>
  <c r="AN8" i="4"/>
  <c r="AN9" i="7"/>
  <c r="AM8" i="4"/>
  <c r="AM9" i="7"/>
  <c r="AL8" i="4"/>
  <c r="AL9" i="7"/>
  <c r="AK8" i="4"/>
  <c r="AK9" i="7"/>
  <c r="AJ8" i="4"/>
  <c r="AJ9" i="7"/>
  <c r="AI8" i="4"/>
  <c r="AI9" i="7"/>
  <c r="AH8" i="4"/>
  <c r="AH9" i="7"/>
  <c r="AG8" i="4"/>
  <c r="AG9" i="7"/>
  <c r="AF8" i="4"/>
  <c r="AF9" i="7"/>
  <c r="AE8" i="4"/>
  <c r="AE9" i="7"/>
  <c r="AC8" i="4"/>
  <c r="AC9" i="7"/>
  <c r="AB8" i="4"/>
  <c r="AB9" i="7"/>
  <c r="AA8" i="4"/>
  <c r="AA9" i="7"/>
  <c r="Z8" i="4"/>
  <c r="Z9" i="7"/>
  <c r="Y8" i="4"/>
  <c r="Y9" i="7"/>
  <c r="X8" i="4"/>
  <c r="X9" i="7"/>
  <c r="W8" i="4"/>
  <c r="W9" i="7"/>
  <c r="V8" i="4"/>
  <c r="V9" i="7"/>
  <c r="U8" i="4"/>
  <c r="U9" i="7"/>
  <c r="T8" i="4"/>
  <c r="T9" i="7"/>
  <c r="S8" i="4"/>
  <c r="S9" i="7"/>
  <c r="R8" i="4"/>
  <c r="R9" i="7"/>
  <c r="Q8" i="4"/>
  <c r="Q9" i="7"/>
  <c r="P8" i="4"/>
  <c r="P9" i="7"/>
  <c r="N8" i="4"/>
  <c r="N9" i="7"/>
  <c r="M8" i="4"/>
  <c r="M9" i="7"/>
  <c r="L8" i="4"/>
  <c r="L9" i="7"/>
  <c r="K8" i="4"/>
  <c r="K9" i="7"/>
  <c r="J8" i="4"/>
  <c r="J9" i="7"/>
  <c r="I8" i="4"/>
  <c r="I9" i="7"/>
  <c r="H8" i="4"/>
  <c r="H9" i="7"/>
  <c r="G8" i="4"/>
  <c r="G9" i="7"/>
  <c r="F8" i="4"/>
  <c r="F9" i="7"/>
  <c r="E8" i="4"/>
  <c r="E9" i="7"/>
  <c r="D8" i="4"/>
  <c r="D9" i="7"/>
  <c r="AD8" i="4"/>
  <c r="AD9" i="7"/>
  <c r="D28" i="4"/>
  <c r="D30" i="4"/>
  <c r="D20" i="4"/>
  <c r="E21" i="3"/>
  <c r="E20" i="2"/>
  <c r="H29" i="2" l="1"/>
  <c r="G20" i="3"/>
  <c r="G19" i="3"/>
  <c r="H28" i="2"/>
  <c r="G18" i="3"/>
  <c r="H27" i="2"/>
  <c r="H26" i="2"/>
  <c r="G17" i="3"/>
  <c r="G30" i="2"/>
  <c r="H25" i="2"/>
  <c r="G11" i="3"/>
  <c r="G18" i="2"/>
  <c r="H17" i="2"/>
  <c r="H13" i="2"/>
  <c r="G14" i="2"/>
  <c r="D10" i="3"/>
  <c r="D33" i="4"/>
  <c r="D51" i="9"/>
  <c r="H9" i="2"/>
  <c r="G10" i="2"/>
  <c r="F8" i="5"/>
  <c r="E9" i="5"/>
  <c r="D27" i="3"/>
  <c r="E26" i="4"/>
  <c r="D19" i="5"/>
  <c r="E7" i="3"/>
  <c r="E24" i="2"/>
  <c r="E10" i="3" s="1"/>
  <c r="E12" i="3" s="1"/>
  <c r="C9" i="7"/>
  <c r="C8" i="4"/>
  <c r="F20" i="2"/>
  <c r="H20" i="3" l="1"/>
  <c r="I29" i="2"/>
  <c r="H19" i="3"/>
  <c r="I28" i="2"/>
  <c r="H18" i="3"/>
  <c r="I27" i="2"/>
  <c r="H17" i="3"/>
  <c r="I26" i="2"/>
  <c r="G21" i="3"/>
  <c r="H30" i="2"/>
  <c r="I25" i="2"/>
  <c r="H11" i="3"/>
  <c r="H18" i="2"/>
  <c r="I17" i="2"/>
  <c r="H14" i="2"/>
  <c r="I13" i="2"/>
  <c r="D12" i="3"/>
  <c r="D11" i="5"/>
  <c r="H10" i="2"/>
  <c r="I9" i="2"/>
  <c r="G8" i="5"/>
  <c r="F9" i="5"/>
  <c r="E28" i="4"/>
  <c r="E30" i="4"/>
  <c r="E14" i="3"/>
  <c r="E33" i="4"/>
  <c r="E51" i="9"/>
  <c r="E34" i="4"/>
  <c r="E12" i="5" s="1"/>
  <c r="E35" i="4"/>
  <c r="E18" i="5" s="1"/>
  <c r="F7" i="3"/>
  <c r="F24" i="2"/>
  <c r="G20" i="2"/>
  <c r="J29" i="2" l="1"/>
  <c r="I20" i="3"/>
  <c r="I19" i="3"/>
  <c r="J28" i="2"/>
  <c r="I18" i="3"/>
  <c r="J27" i="2"/>
  <c r="I17" i="3"/>
  <c r="J26" i="2"/>
  <c r="I30" i="2"/>
  <c r="I11" i="3"/>
  <c r="J25" i="2"/>
  <c r="J17" i="2"/>
  <c r="I18" i="2"/>
  <c r="J13" i="2"/>
  <c r="I14" i="2"/>
  <c r="D14" i="3"/>
  <c r="D34" i="4"/>
  <c r="D35" i="4"/>
  <c r="D18" i="5" s="1"/>
  <c r="D20" i="5" s="1"/>
  <c r="H20" i="2"/>
  <c r="I10" i="2"/>
  <c r="J9" i="2"/>
  <c r="H8" i="5"/>
  <c r="G9" i="5"/>
  <c r="E27" i="3"/>
  <c r="F26" i="4"/>
  <c r="E19" i="5"/>
  <c r="E20" i="5" s="1"/>
  <c r="E23" i="3"/>
  <c r="E34" i="3"/>
  <c r="E36" i="4"/>
  <c r="E11" i="5"/>
  <c r="F51" i="9"/>
  <c r="F33" i="4"/>
  <c r="F10" i="3"/>
  <c r="G24" i="2"/>
  <c r="G7" i="3"/>
  <c r="H21" i="3"/>
  <c r="K29" i="2" l="1"/>
  <c r="J20" i="3"/>
  <c r="K28" i="2"/>
  <c r="J19" i="3"/>
  <c r="J18" i="3"/>
  <c r="K27" i="2"/>
  <c r="K26" i="2"/>
  <c r="J17" i="3"/>
  <c r="J30" i="2"/>
  <c r="J11" i="3"/>
  <c r="K25" i="2"/>
  <c r="J18" i="2"/>
  <c r="K17" i="2"/>
  <c r="J14" i="2"/>
  <c r="K13" i="2"/>
  <c r="D34" i="3"/>
  <c r="D23" i="3"/>
  <c r="D36" i="4"/>
  <c r="D12" i="5"/>
  <c r="H24" i="2"/>
  <c r="H10" i="3" s="1"/>
  <c r="H12" i="3" s="1"/>
  <c r="H7" i="3"/>
  <c r="K9" i="2"/>
  <c r="J10" i="2"/>
  <c r="I8" i="5"/>
  <c r="H9" i="5"/>
  <c r="F28" i="4"/>
  <c r="F30" i="4"/>
  <c r="E25" i="3"/>
  <c r="E33" i="3"/>
  <c r="E56" i="9" s="1"/>
  <c r="E52" i="9"/>
  <c r="F11" i="5"/>
  <c r="F12" i="3"/>
  <c r="G51" i="9"/>
  <c r="G14" i="3"/>
  <c r="G33" i="4"/>
  <c r="I21" i="3"/>
  <c r="I20" i="2"/>
  <c r="G10" i="3"/>
  <c r="G12" i="3" s="1"/>
  <c r="L29" i="2" l="1"/>
  <c r="K20" i="3"/>
  <c r="K19" i="3"/>
  <c r="L28" i="2"/>
  <c r="K18" i="3"/>
  <c r="L27" i="2"/>
  <c r="K17" i="3"/>
  <c r="L26" i="2"/>
  <c r="J21" i="3"/>
  <c r="K11" i="3"/>
  <c r="L25" i="2"/>
  <c r="K30" i="2"/>
  <c r="L17" i="2"/>
  <c r="K18" i="2"/>
  <c r="L13" i="2"/>
  <c r="K14" i="2"/>
  <c r="D25" i="3"/>
  <c r="D33" i="3"/>
  <c r="D56" i="9" s="1"/>
  <c r="D52" i="9"/>
  <c r="E37" i="4"/>
  <c r="D37" i="4"/>
  <c r="H34" i="4"/>
  <c r="H12" i="5" s="1"/>
  <c r="H35" i="4"/>
  <c r="H18" i="5" s="1"/>
  <c r="H33" i="4"/>
  <c r="H14" i="3"/>
  <c r="H51" i="9"/>
  <c r="L9" i="2"/>
  <c r="K10" i="2"/>
  <c r="J20" i="2"/>
  <c r="J8" i="5"/>
  <c r="I9" i="5"/>
  <c r="F27" i="3"/>
  <c r="G26" i="4"/>
  <c r="F19" i="5"/>
  <c r="E28" i="3"/>
  <c r="E7" i="7"/>
  <c r="E8" i="7" s="1"/>
  <c r="F14" i="3"/>
  <c r="F34" i="4"/>
  <c r="F35" i="4"/>
  <c r="F18" i="5" s="1"/>
  <c r="F20" i="5" s="1"/>
  <c r="G34" i="3"/>
  <c r="G23" i="3"/>
  <c r="G11" i="5"/>
  <c r="I7" i="3"/>
  <c r="I24" i="2"/>
  <c r="G35" i="4"/>
  <c r="G18" i="5" s="1"/>
  <c r="G34" i="4"/>
  <c r="L20" i="3" l="1"/>
  <c r="M29" i="2"/>
  <c r="L19" i="3"/>
  <c r="M28" i="2"/>
  <c r="M27" i="2"/>
  <c r="L18" i="3"/>
  <c r="L17" i="3"/>
  <c r="M26" i="2"/>
  <c r="M25" i="2"/>
  <c r="L11" i="3"/>
  <c r="L30" i="2"/>
  <c r="M17" i="2"/>
  <c r="L18" i="2"/>
  <c r="M13" i="2"/>
  <c r="L14" i="2"/>
  <c r="D28" i="3"/>
  <c r="D7" i="7"/>
  <c r="E9" i="4"/>
  <c r="E10" i="7"/>
  <c r="E12" i="7" s="1"/>
  <c r="E17" i="7" s="1"/>
  <c r="D9" i="4"/>
  <c r="D10" i="7"/>
  <c r="H36" i="4"/>
  <c r="H11" i="5"/>
  <c r="H23" i="3"/>
  <c r="H34" i="3"/>
  <c r="M9" i="2"/>
  <c r="L10" i="2"/>
  <c r="J7" i="3"/>
  <c r="J24" i="2"/>
  <c r="K8" i="5"/>
  <c r="J9" i="5"/>
  <c r="G28" i="4"/>
  <c r="G30" i="4"/>
  <c r="E29" i="3"/>
  <c r="E30" i="3" s="1"/>
  <c r="F23" i="3"/>
  <c r="F34" i="3"/>
  <c r="F36" i="4"/>
  <c r="F37" i="4" s="1"/>
  <c r="F12" i="5"/>
  <c r="G52" i="9"/>
  <c r="G25" i="3"/>
  <c r="G33" i="3"/>
  <c r="G56" i="9" s="1"/>
  <c r="I33" i="4"/>
  <c r="I51" i="9"/>
  <c r="I10" i="3"/>
  <c r="K21" i="3"/>
  <c r="K20" i="2"/>
  <c r="G12" i="5"/>
  <c r="G36" i="4"/>
  <c r="M20" i="3" l="1"/>
  <c r="N29" i="2"/>
  <c r="M19" i="3"/>
  <c r="N28" i="2"/>
  <c r="N27" i="2"/>
  <c r="M18" i="3"/>
  <c r="L21" i="3"/>
  <c r="N26" i="2"/>
  <c r="M17" i="3"/>
  <c r="M11" i="3"/>
  <c r="N25" i="2"/>
  <c r="M30" i="2"/>
  <c r="N17" i="2"/>
  <c r="M18" i="2"/>
  <c r="N13" i="2"/>
  <c r="M14" i="2"/>
  <c r="D29" i="3"/>
  <c r="D30" i="3" s="1"/>
  <c r="D8" i="7"/>
  <c r="H25" i="3"/>
  <c r="H33" i="3"/>
  <c r="H56" i="9" s="1"/>
  <c r="H52" i="9"/>
  <c r="N9" i="2"/>
  <c r="M10" i="2"/>
  <c r="M20" i="2" s="1"/>
  <c r="J14" i="3"/>
  <c r="J51" i="9"/>
  <c r="J33" i="4"/>
  <c r="L8" i="5"/>
  <c r="K9" i="5"/>
  <c r="G27" i="3"/>
  <c r="H26" i="4"/>
  <c r="G19" i="5"/>
  <c r="G20" i="5" s="1"/>
  <c r="E35" i="3"/>
  <c r="E57" i="9" s="1"/>
  <c r="E7" i="4"/>
  <c r="E10" i="4" s="1"/>
  <c r="E22" i="4" s="1"/>
  <c r="E55" i="9" s="1"/>
  <c r="E53" i="9"/>
  <c r="F52" i="9"/>
  <c r="F25" i="3"/>
  <c r="F33" i="3"/>
  <c r="F56" i="9" s="1"/>
  <c r="F9" i="4"/>
  <c r="F10" i="7"/>
  <c r="G28" i="3"/>
  <c r="G7" i="7"/>
  <c r="G8" i="7" s="1"/>
  <c r="I11" i="5"/>
  <c r="I12" i="3"/>
  <c r="K7" i="3"/>
  <c r="K24" i="2"/>
  <c r="K10" i="3" s="1"/>
  <c r="H37" i="4"/>
  <c r="G37" i="4"/>
  <c r="L20" i="2"/>
  <c r="J10" i="3"/>
  <c r="J12" i="3" s="1"/>
  <c r="N20" i="3" l="1"/>
  <c r="O29" i="2"/>
  <c r="N19" i="3"/>
  <c r="O28" i="2"/>
  <c r="N18" i="3"/>
  <c r="O27" i="2"/>
  <c r="N17" i="3"/>
  <c r="O26" i="2"/>
  <c r="N11" i="3"/>
  <c r="O25" i="2"/>
  <c r="N30" i="2"/>
  <c r="N18" i="2"/>
  <c r="O17" i="2"/>
  <c r="N14" i="2"/>
  <c r="O13" i="2"/>
  <c r="D35" i="3"/>
  <c r="D57" i="9" s="1"/>
  <c r="D7" i="4"/>
  <c r="D53" i="9"/>
  <c r="D24" i="5"/>
  <c r="D12" i="7"/>
  <c r="H7" i="7"/>
  <c r="H8" i="7" s="1"/>
  <c r="N10" i="2"/>
  <c r="O9" i="2"/>
  <c r="M24" i="2"/>
  <c r="M10" i="3" s="1"/>
  <c r="M12" i="3" s="1"/>
  <c r="M7" i="3"/>
  <c r="J34" i="3"/>
  <c r="J23" i="3"/>
  <c r="J11" i="5"/>
  <c r="M8" i="5"/>
  <c r="L9" i="5"/>
  <c r="H28" i="4"/>
  <c r="H30" i="4"/>
  <c r="F28" i="3"/>
  <c r="F7" i="7"/>
  <c r="G29" i="3"/>
  <c r="G30" i="3" s="1"/>
  <c r="I14" i="3"/>
  <c r="I34" i="4"/>
  <c r="I35" i="4"/>
  <c r="I18" i="5" s="1"/>
  <c r="K14" i="3"/>
  <c r="K33" i="4"/>
  <c r="K51" i="9"/>
  <c r="H9" i="4"/>
  <c r="H10" i="7"/>
  <c r="G10" i="7"/>
  <c r="G9" i="4"/>
  <c r="L7" i="3"/>
  <c r="L24" i="2"/>
  <c r="J35" i="4"/>
  <c r="J18" i="5" s="1"/>
  <c r="J34" i="4"/>
  <c r="M21" i="3"/>
  <c r="K12" i="3"/>
  <c r="O20" i="3" l="1"/>
  <c r="P29" i="2"/>
  <c r="O19" i="3"/>
  <c r="P28" i="2"/>
  <c r="O18" i="3"/>
  <c r="P27" i="2"/>
  <c r="N21" i="3"/>
  <c r="P26" i="2"/>
  <c r="O17" i="3"/>
  <c r="P25" i="2"/>
  <c r="O30" i="2"/>
  <c r="O11" i="3"/>
  <c r="P17" i="2"/>
  <c r="O18" i="2"/>
  <c r="O14" i="2"/>
  <c r="P13" i="2"/>
  <c r="D10" i="4"/>
  <c r="D25" i="5"/>
  <c r="D27" i="5" s="1"/>
  <c r="E24" i="5"/>
  <c r="D17" i="7"/>
  <c r="N20" i="2"/>
  <c r="O10" i="2"/>
  <c r="P9" i="2"/>
  <c r="M34" i="4"/>
  <c r="M12" i="5" s="1"/>
  <c r="M35" i="4"/>
  <c r="M18" i="5" s="1"/>
  <c r="M33" i="4"/>
  <c r="M14" i="3"/>
  <c r="M51" i="9"/>
  <c r="J52" i="9"/>
  <c r="J25" i="3"/>
  <c r="J33" i="3"/>
  <c r="J56" i="9" s="1"/>
  <c r="N8" i="5"/>
  <c r="M9" i="5"/>
  <c r="H27" i="3"/>
  <c r="I26" i="4"/>
  <c r="H19" i="5"/>
  <c r="H20" i="5" s="1"/>
  <c r="F29" i="3"/>
  <c r="F30" i="3" s="1"/>
  <c r="F8" i="7"/>
  <c r="G35" i="3"/>
  <c r="G57" i="9" s="1"/>
  <c r="G7" i="4"/>
  <c r="G10" i="4" s="1"/>
  <c r="G22" i="4" s="1"/>
  <c r="G55" i="9" s="1"/>
  <c r="G53" i="9"/>
  <c r="I34" i="3"/>
  <c r="I23" i="3"/>
  <c r="I36" i="4"/>
  <c r="I37" i="4" s="1"/>
  <c r="I12" i="5"/>
  <c r="K23" i="3"/>
  <c r="K34" i="3"/>
  <c r="K36" i="4"/>
  <c r="K37" i="4" s="1"/>
  <c r="K11" i="5"/>
  <c r="G12" i="7"/>
  <c r="G17" i="7" s="1"/>
  <c r="L51" i="9"/>
  <c r="L33" i="4"/>
  <c r="L10" i="3"/>
  <c r="K35" i="4"/>
  <c r="K18" i="5" s="1"/>
  <c r="K34" i="4"/>
  <c r="K12" i="5" s="1"/>
  <c r="H12" i="7"/>
  <c r="H17" i="7" s="1"/>
  <c r="J12" i="5"/>
  <c r="J36" i="4"/>
  <c r="J37" i="4" s="1"/>
  <c r="P20" i="3" l="1"/>
  <c r="Q29" i="2"/>
  <c r="P19" i="3"/>
  <c r="Q28" i="2"/>
  <c r="P18" i="3"/>
  <c r="Q27" i="2"/>
  <c r="P17" i="3"/>
  <c r="Q26" i="2"/>
  <c r="Q25" i="2"/>
  <c r="P30" i="2"/>
  <c r="P11" i="3"/>
  <c r="P18" i="2"/>
  <c r="Q17" i="2"/>
  <c r="P14" i="2"/>
  <c r="Q13" i="2"/>
  <c r="D22" i="4"/>
  <c r="E25" i="5"/>
  <c r="E27" i="5" s="1"/>
  <c r="F24" i="5"/>
  <c r="D18" i="7"/>
  <c r="E18" i="7" s="1"/>
  <c r="N7" i="3"/>
  <c r="N24" i="2"/>
  <c r="Q9" i="2"/>
  <c r="P10" i="2"/>
  <c r="M36" i="4"/>
  <c r="M11" i="5"/>
  <c r="M34" i="3"/>
  <c r="M23" i="3"/>
  <c r="J7" i="7"/>
  <c r="J8" i="7" s="1"/>
  <c r="J12" i="7" s="1"/>
  <c r="J17" i="7" s="1"/>
  <c r="O8" i="5"/>
  <c r="N9" i="5"/>
  <c r="H28" i="3"/>
  <c r="I28" i="4"/>
  <c r="I30" i="4"/>
  <c r="F35" i="3"/>
  <c r="F57" i="9" s="1"/>
  <c r="F7" i="4"/>
  <c r="F53" i="9"/>
  <c r="F12" i="7"/>
  <c r="I52" i="9"/>
  <c r="I25" i="3"/>
  <c r="I33" i="3"/>
  <c r="I56" i="9" s="1"/>
  <c r="I9" i="4"/>
  <c r="I10" i="7"/>
  <c r="K52" i="9"/>
  <c r="K25" i="3"/>
  <c r="K33" i="3"/>
  <c r="K56" i="9" s="1"/>
  <c r="K10" i="7"/>
  <c r="K9" i="4"/>
  <c r="L11" i="5"/>
  <c r="L12" i="3"/>
  <c r="J9" i="4"/>
  <c r="J10" i="7"/>
  <c r="O21" i="3"/>
  <c r="O20" i="2"/>
  <c r="Q20" i="3" l="1"/>
  <c r="R29" i="2"/>
  <c r="Q19" i="3"/>
  <c r="R28" i="2"/>
  <c r="Q18" i="3"/>
  <c r="R27" i="2"/>
  <c r="Q17" i="3"/>
  <c r="R26" i="2"/>
  <c r="Q11" i="3"/>
  <c r="R25" i="2"/>
  <c r="Q30" i="2"/>
  <c r="R17" i="2"/>
  <c r="Q18" i="2"/>
  <c r="Q14" i="2"/>
  <c r="R13" i="2"/>
  <c r="D23" i="4"/>
  <c r="D55" i="9"/>
  <c r="F25" i="5"/>
  <c r="F27" i="5" s="1"/>
  <c r="G24" i="5"/>
  <c r="N33" i="4"/>
  <c r="N51" i="9"/>
  <c r="N10" i="3"/>
  <c r="Q10" i="2"/>
  <c r="R9" i="2"/>
  <c r="M25" i="3"/>
  <c r="M33" i="3"/>
  <c r="M56" i="9" s="1"/>
  <c r="M52" i="9"/>
  <c r="P8" i="5"/>
  <c r="O9" i="5"/>
  <c r="H30" i="3"/>
  <c r="H29" i="3"/>
  <c r="I27" i="3"/>
  <c r="J26" i="4"/>
  <c r="I19" i="5"/>
  <c r="I20" i="5" s="1"/>
  <c r="F10" i="4"/>
  <c r="F17" i="7"/>
  <c r="I28" i="3"/>
  <c r="I7" i="7"/>
  <c r="K7" i="7"/>
  <c r="K8" i="7" s="1"/>
  <c r="K12" i="7" s="1"/>
  <c r="K17" i="7" s="1"/>
  <c r="L14" i="3"/>
  <c r="L34" i="4"/>
  <c r="L35" i="4"/>
  <c r="L18" i="5" s="1"/>
  <c r="O7" i="3"/>
  <c r="O24" i="2"/>
  <c r="P21" i="3"/>
  <c r="P20" i="2"/>
  <c r="R20" i="3" l="1"/>
  <c r="S29" i="2"/>
  <c r="R19" i="3"/>
  <c r="S28" i="2"/>
  <c r="R18" i="3"/>
  <c r="S27" i="2"/>
  <c r="S26" i="2"/>
  <c r="R17" i="3"/>
  <c r="R30" i="2"/>
  <c r="R11" i="3"/>
  <c r="S25" i="2"/>
  <c r="R18" i="2"/>
  <c r="S17" i="2"/>
  <c r="R14" i="2"/>
  <c r="S13" i="2"/>
  <c r="E23" i="4"/>
  <c r="D13" i="5"/>
  <c r="D14" i="5" s="1"/>
  <c r="D15" i="5" s="1"/>
  <c r="D28" i="5" s="1"/>
  <c r="D54" i="9"/>
  <c r="B7" i="8"/>
  <c r="R4" i="9" s="1"/>
  <c r="G25" i="5"/>
  <c r="G27" i="5" s="1"/>
  <c r="H24" i="5"/>
  <c r="N11" i="5"/>
  <c r="N12" i="3"/>
  <c r="R10" i="2"/>
  <c r="S9" i="2"/>
  <c r="M7" i="7"/>
  <c r="M8" i="7" s="1"/>
  <c r="Q8" i="5"/>
  <c r="P9" i="5"/>
  <c r="H35" i="3"/>
  <c r="H57" i="9" s="1"/>
  <c r="H7" i="4"/>
  <c r="H53" i="9"/>
  <c r="J29" i="4"/>
  <c r="J28" i="4"/>
  <c r="J30" i="4"/>
  <c r="F22" i="4"/>
  <c r="F18" i="7"/>
  <c r="G18" i="7" s="1"/>
  <c r="H18" i="7" s="1"/>
  <c r="I29" i="3"/>
  <c r="I30" i="3"/>
  <c r="I8" i="7"/>
  <c r="L23" i="3"/>
  <c r="L34" i="3"/>
  <c r="L36" i="4"/>
  <c r="L12" i="5"/>
  <c r="O51" i="9"/>
  <c r="O14" i="3"/>
  <c r="O33" i="4"/>
  <c r="P24" i="2"/>
  <c r="P10" i="3" s="1"/>
  <c r="P7" i="3"/>
  <c r="Q20" i="2"/>
  <c r="Q21" i="3"/>
  <c r="O10" i="3"/>
  <c r="O12" i="3" s="1"/>
  <c r="S20" i="3" l="1"/>
  <c r="T29" i="2"/>
  <c r="T28" i="2"/>
  <c r="S19" i="3"/>
  <c r="S18" i="3"/>
  <c r="T27" i="2"/>
  <c r="T26" i="2"/>
  <c r="S17" i="3"/>
  <c r="S30" i="2"/>
  <c r="S11" i="3"/>
  <c r="T25" i="2"/>
  <c r="T17" i="2"/>
  <c r="S18" i="2"/>
  <c r="T13" i="2"/>
  <c r="S14" i="2"/>
  <c r="F23" i="4"/>
  <c r="E13" i="5"/>
  <c r="E14" i="5" s="1"/>
  <c r="E15" i="5" s="1"/>
  <c r="E28" i="5" s="1"/>
  <c r="E54" i="9"/>
  <c r="H25" i="5"/>
  <c r="H27" i="5" s="1"/>
  <c r="I24" i="5"/>
  <c r="N14" i="3"/>
  <c r="N34" i="4"/>
  <c r="N35" i="4"/>
  <c r="N18" i="5" s="1"/>
  <c r="R20" i="2"/>
  <c r="S10" i="2"/>
  <c r="T9" i="2"/>
  <c r="R8" i="5"/>
  <c r="Q9" i="5"/>
  <c r="H10" i="4"/>
  <c r="J19" i="4"/>
  <c r="J27" i="3"/>
  <c r="K26" i="4"/>
  <c r="J19" i="5"/>
  <c r="J20" i="5" s="1"/>
  <c r="F55" i="9"/>
  <c r="I35" i="3"/>
  <c r="I57" i="9" s="1"/>
  <c r="I7" i="4"/>
  <c r="I53" i="9"/>
  <c r="I12" i="7"/>
  <c r="L25" i="3"/>
  <c r="L33" i="3"/>
  <c r="L56" i="9" s="1"/>
  <c r="L52" i="9"/>
  <c r="M37" i="4"/>
  <c r="L37" i="4"/>
  <c r="O23" i="3"/>
  <c r="O34" i="3"/>
  <c r="O11" i="5"/>
  <c r="P33" i="4"/>
  <c r="P14" i="3"/>
  <c r="P51" i="9"/>
  <c r="Q7" i="3"/>
  <c r="Q24" i="2"/>
  <c r="O35" i="4"/>
  <c r="O18" i="5" s="1"/>
  <c r="O34" i="4"/>
  <c r="R21" i="3"/>
  <c r="P12" i="3"/>
  <c r="T20" i="3" l="1"/>
  <c r="U29" i="2"/>
  <c r="T19" i="3"/>
  <c r="U28" i="2"/>
  <c r="T18" i="3"/>
  <c r="U27" i="2"/>
  <c r="U26" i="2"/>
  <c r="T17" i="3"/>
  <c r="T21" i="3" s="1"/>
  <c r="T30" i="2"/>
  <c r="U25" i="2"/>
  <c r="T11" i="3"/>
  <c r="U17" i="2"/>
  <c r="T18" i="2"/>
  <c r="U13" i="2"/>
  <c r="T14" i="2"/>
  <c r="F13" i="5"/>
  <c r="F14" i="5" s="1"/>
  <c r="F15" i="5" s="1"/>
  <c r="F28" i="5" s="1"/>
  <c r="F54" i="9"/>
  <c r="G23" i="4"/>
  <c r="I25" i="5"/>
  <c r="I27" i="5" s="1"/>
  <c r="N34" i="3"/>
  <c r="N23" i="3"/>
  <c r="N36" i="4"/>
  <c r="N37" i="4" s="1"/>
  <c r="N12" i="5"/>
  <c r="R7" i="3"/>
  <c r="R24" i="2"/>
  <c r="T10" i="2"/>
  <c r="U9" i="2"/>
  <c r="S8" i="5"/>
  <c r="R9" i="5"/>
  <c r="H22" i="4"/>
  <c r="J20" i="4"/>
  <c r="J28" i="3"/>
  <c r="K29" i="4"/>
  <c r="K30" i="4" s="1"/>
  <c r="K28" i="4"/>
  <c r="I17" i="7"/>
  <c r="L7" i="7"/>
  <c r="M9" i="4"/>
  <c r="M10" i="7"/>
  <c r="M12" i="7" s="1"/>
  <c r="M17" i="7" s="1"/>
  <c r="L9" i="4"/>
  <c r="L10" i="7"/>
  <c r="O52" i="9"/>
  <c r="O25" i="3"/>
  <c r="O33" i="3"/>
  <c r="O56" i="9" s="1"/>
  <c r="P36" i="4"/>
  <c r="P37" i="4" s="1"/>
  <c r="P11" i="5"/>
  <c r="P23" i="3"/>
  <c r="P34" i="3"/>
  <c r="Q33" i="4"/>
  <c r="Q51" i="9"/>
  <c r="Q10" i="3"/>
  <c r="P35" i="4"/>
  <c r="P18" i="5" s="1"/>
  <c r="P34" i="4"/>
  <c r="P12" i="5" s="1"/>
  <c r="S20" i="2"/>
  <c r="S21" i="3"/>
  <c r="I10" i="4"/>
  <c r="I22" i="4" s="1"/>
  <c r="I55" i="9" s="1"/>
  <c r="O12" i="5"/>
  <c r="O36" i="4"/>
  <c r="V29" i="2" l="1"/>
  <c r="U20" i="3"/>
  <c r="U19" i="3"/>
  <c r="V28" i="2"/>
  <c r="V27" i="2"/>
  <c r="U18" i="3"/>
  <c r="V26" i="2"/>
  <c r="U17" i="3"/>
  <c r="U30" i="2"/>
  <c r="U11" i="3"/>
  <c r="V25" i="2"/>
  <c r="V17" i="2"/>
  <c r="U18" i="2"/>
  <c r="V13" i="2"/>
  <c r="U14" i="2"/>
  <c r="H23" i="4"/>
  <c r="G13" i="5"/>
  <c r="G14" i="5" s="1"/>
  <c r="G15" i="5" s="1"/>
  <c r="G28" i="5" s="1"/>
  <c r="G54" i="9"/>
  <c r="N25" i="3"/>
  <c r="N33" i="3"/>
  <c r="N56" i="9" s="1"/>
  <c r="N52" i="9"/>
  <c r="N9" i="4"/>
  <c r="N10" i="7"/>
  <c r="R14" i="3"/>
  <c r="R51" i="9"/>
  <c r="R33" i="4"/>
  <c r="T20" i="2"/>
  <c r="V9" i="2"/>
  <c r="U10" i="2"/>
  <c r="T8" i="5"/>
  <c r="S9" i="5"/>
  <c r="H55" i="9"/>
  <c r="J29" i="3"/>
  <c r="J30" i="3" s="1"/>
  <c r="K19" i="4"/>
  <c r="K27" i="3"/>
  <c r="L26" i="4"/>
  <c r="K19" i="5"/>
  <c r="K20" i="5" s="1"/>
  <c r="I18" i="7"/>
  <c r="J18" i="7" s="1"/>
  <c r="K18" i="7" s="1"/>
  <c r="L8" i="7"/>
  <c r="O7" i="7"/>
  <c r="O8" i="7" s="1"/>
  <c r="P10" i="7"/>
  <c r="P9" i="4"/>
  <c r="P25" i="3"/>
  <c r="P33" i="3"/>
  <c r="P56" i="9" s="1"/>
  <c r="P52" i="9"/>
  <c r="Q11" i="5"/>
  <c r="Q12" i="3"/>
  <c r="S7" i="3"/>
  <c r="S24" i="2"/>
  <c r="S10" i="3" s="1"/>
  <c r="S12" i="3" s="1"/>
  <c r="O37" i="4"/>
  <c r="R10" i="3"/>
  <c r="R12" i="3" s="1"/>
  <c r="W29" i="2" l="1"/>
  <c r="V20" i="3"/>
  <c r="W28" i="2"/>
  <c r="V19" i="3"/>
  <c r="V18" i="3"/>
  <c r="W27" i="2"/>
  <c r="W26" i="2"/>
  <c r="V17" i="3"/>
  <c r="U21" i="3"/>
  <c r="V30" i="2"/>
  <c r="V11" i="3"/>
  <c r="W25" i="2"/>
  <c r="V18" i="2"/>
  <c r="W17" i="2"/>
  <c r="W13" i="2"/>
  <c r="V14" i="2"/>
  <c r="H54" i="9"/>
  <c r="I23" i="4"/>
  <c r="H13" i="5"/>
  <c r="H14" i="5" s="1"/>
  <c r="H15" i="5" s="1"/>
  <c r="H28" i="5" s="1"/>
  <c r="N7" i="7"/>
  <c r="R34" i="3"/>
  <c r="R23" i="3"/>
  <c r="R36" i="4"/>
  <c r="R11" i="5"/>
  <c r="T24" i="2"/>
  <c r="T7" i="3"/>
  <c r="V10" i="2"/>
  <c r="W9" i="2"/>
  <c r="U8" i="5"/>
  <c r="T9" i="5"/>
  <c r="J24" i="5"/>
  <c r="J35" i="3"/>
  <c r="J57" i="9" s="1"/>
  <c r="J7" i="4"/>
  <c r="J53" i="9"/>
  <c r="K20" i="4"/>
  <c r="K28" i="3"/>
  <c r="L29" i="4"/>
  <c r="L30" i="4" s="1"/>
  <c r="L28" i="4"/>
  <c r="L12" i="7"/>
  <c r="P7" i="7"/>
  <c r="P8" i="7" s="1"/>
  <c r="P12" i="7" s="1"/>
  <c r="P17" i="7" s="1"/>
  <c r="Q14" i="3"/>
  <c r="Q34" i="4"/>
  <c r="Q35" i="4"/>
  <c r="Q18" i="5" s="1"/>
  <c r="S14" i="3"/>
  <c r="S51" i="9"/>
  <c r="S33" i="4"/>
  <c r="S34" i="4"/>
  <c r="S12" i="5" s="1"/>
  <c r="S35" i="4"/>
  <c r="S18" i="5" s="1"/>
  <c r="O10" i="7"/>
  <c r="O9" i="4"/>
  <c r="R35" i="4"/>
  <c r="R18" i="5" s="1"/>
  <c r="R34" i="4"/>
  <c r="R12" i="5" s="1"/>
  <c r="U20" i="2"/>
  <c r="W20" i="3" l="1"/>
  <c r="X29" i="2"/>
  <c r="X28" i="2"/>
  <c r="W19" i="3"/>
  <c r="W18" i="3"/>
  <c r="X27" i="2"/>
  <c r="X26" i="2"/>
  <c r="W17" i="3"/>
  <c r="W30" i="2"/>
  <c r="X25" i="2"/>
  <c r="W11" i="3"/>
  <c r="W18" i="2"/>
  <c r="X17" i="2"/>
  <c r="X13" i="2"/>
  <c r="W14" i="2"/>
  <c r="I13" i="5"/>
  <c r="I14" i="5" s="1"/>
  <c r="I15" i="5" s="1"/>
  <c r="I28" i="5" s="1"/>
  <c r="I54" i="9"/>
  <c r="N8" i="7"/>
  <c r="R52" i="9"/>
  <c r="R25" i="3"/>
  <c r="R33" i="3"/>
  <c r="R56" i="9" s="1"/>
  <c r="T10" i="3"/>
  <c r="T33" i="4"/>
  <c r="T51" i="9"/>
  <c r="V20" i="2"/>
  <c r="X9" i="2"/>
  <c r="W10" i="2"/>
  <c r="V8" i="5"/>
  <c r="U9" i="5"/>
  <c r="J25" i="5"/>
  <c r="J27" i="5" s="1"/>
  <c r="J10" i="4"/>
  <c r="K29" i="3"/>
  <c r="K30" i="3" s="1"/>
  <c r="K24" i="5" s="1"/>
  <c r="L19" i="4"/>
  <c r="L27" i="3"/>
  <c r="M26" i="4"/>
  <c r="L19" i="5"/>
  <c r="L20" i="5" s="1"/>
  <c r="L17" i="7"/>
  <c r="Q23" i="3"/>
  <c r="Q34" i="3"/>
  <c r="Q36" i="4"/>
  <c r="Q12" i="5"/>
  <c r="S23" i="3"/>
  <c r="S34" i="3"/>
  <c r="S36" i="4"/>
  <c r="S37" i="4" s="1"/>
  <c r="S11" i="5"/>
  <c r="O12" i="7"/>
  <c r="O17" i="7" s="1"/>
  <c r="U7" i="3"/>
  <c r="U24" i="2"/>
  <c r="U10" i="3" s="1"/>
  <c r="U12" i="3" s="1"/>
  <c r="V21" i="3"/>
  <c r="X20" i="3" l="1"/>
  <c r="Y29" i="2"/>
  <c r="X19" i="3"/>
  <c r="Y28" i="2"/>
  <c r="X18" i="3"/>
  <c r="Y27" i="2"/>
  <c r="X17" i="3"/>
  <c r="Y26" i="2"/>
  <c r="W21" i="3"/>
  <c r="Y25" i="2"/>
  <c r="X11" i="3"/>
  <c r="X30" i="2"/>
  <c r="X18" i="2"/>
  <c r="Y17" i="2"/>
  <c r="Y13" i="2"/>
  <c r="X14" i="2"/>
  <c r="N12" i="7"/>
  <c r="R7" i="7"/>
  <c r="R8" i="7" s="1"/>
  <c r="T12" i="3"/>
  <c r="T11" i="5"/>
  <c r="V24" i="2"/>
  <c r="V7" i="3"/>
  <c r="X10" i="2"/>
  <c r="X20" i="2" s="1"/>
  <c r="Y9" i="2"/>
  <c r="W8" i="5"/>
  <c r="V9" i="5"/>
  <c r="K25" i="5"/>
  <c r="K27" i="5" s="1"/>
  <c r="J22" i="4"/>
  <c r="K35" i="3"/>
  <c r="K57" i="9" s="1"/>
  <c r="K7" i="4"/>
  <c r="K53" i="9"/>
  <c r="L20" i="4"/>
  <c r="L28" i="3"/>
  <c r="M29" i="4"/>
  <c r="M30" i="4" s="1"/>
  <c r="M28" i="4"/>
  <c r="L18" i="7"/>
  <c r="M18" i="7" s="1"/>
  <c r="Q25" i="3"/>
  <c r="Q33" i="3"/>
  <c r="Q56" i="9" s="1"/>
  <c r="Q52" i="9"/>
  <c r="R37" i="4"/>
  <c r="Q37" i="4"/>
  <c r="S52" i="9"/>
  <c r="S25" i="3"/>
  <c r="S33" i="3"/>
  <c r="S56" i="9" s="1"/>
  <c r="S10" i="7"/>
  <c r="S9" i="4"/>
  <c r="U33" i="4"/>
  <c r="U51" i="9"/>
  <c r="U14" i="3"/>
  <c r="U34" i="4"/>
  <c r="U12" i="5" s="1"/>
  <c r="U35" i="4"/>
  <c r="U18" i="5" s="1"/>
  <c r="W20" i="2"/>
  <c r="Y20" i="3" l="1"/>
  <c r="Z29" i="2"/>
  <c r="Y19" i="3"/>
  <c r="Z28" i="2"/>
  <c r="Z27" i="2"/>
  <c r="Y18" i="3"/>
  <c r="Z26" i="2"/>
  <c r="Y17" i="3"/>
  <c r="Y11" i="3"/>
  <c r="Z25" i="2"/>
  <c r="Y30" i="2"/>
  <c r="Y18" i="2"/>
  <c r="Z17" i="2"/>
  <c r="Z13" i="2"/>
  <c r="Y14" i="2"/>
  <c r="N17" i="7"/>
  <c r="T14" i="3"/>
  <c r="T34" i="4"/>
  <c r="T35" i="4"/>
  <c r="T18" i="5" s="1"/>
  <c r="V10" i="3"/>
  <c r="V51" i="9"/>
  <c r="V33" i="4"/>
  <c r="X7" i="3"/>
  <c r="X24" i="2"/>
  <c r="Y10" i="2"/>
  <c r="Z9" i="2"/>
  <c r="X8" i="5"/>
  <c r="W9" i="5"/>
  <c r="J23" i="4"/>
  <c r="J55" i="9"/>
  <c r="K10" i="4"/>
  <c r="L29" i="3"/>
  <c r="L30" i="3" s="1"/>
  <c r="M19" i="4"/>
  <c r="M27" i="3"/>
  <c r="N26" i="4"/>
  <c r="M19" i="5"/>
  <c r="M20" i="5" s="1"/>
  <c r="Q7" i="7"/>
  <c r="R9" i="4"/>
  <c r="R10" i="7"/>
  <c r="R12" i="7" s="1"/>
  <c r="R17" i="7" s="1"/>
  <c r="Q9" i="4"/>
  <c r="Q10" i="7"/>
  <c r="S7" i="7"/>
  <c r="S8" i="7" s="1"/>
  <c r="S12" i="7" s="1"/>
  <c r="S17" i="7" s="1"/>
  <c r="U36" i="4"/>
  <c r="U11" i="5"/>
  <c r="U23" i="3"/>
  <c r="U34" i="3"/>
  <c r="W7" i="3"/>
  <c r="W24" i="2"/>
  <c r="W10" i="3" s="1"/>
  <c r="W12" i="3" s="1"/>
  <c r="X21" i="3"/>
  <c r="Z20" i="3" l="1"/>
  <c r="AA29" i="2"/>
  <c r="AA28" i="2"/>
  <c r="Z19" i="3"/>
  <c r="Z18" i="3"/>
  <c r="AA27" i="2"/>
  <c r="Z17" i="3"/>
  <c r="AA26" i="2"/>
  <c r="Z11" i="3"/>
  <c r="Z30" i="2"/>
  <c r="AA25" i="2"/>
  <c r="AA17" i="2"/>
  <c r="Z18" i="2"/>
  <c r="Z14" i="2"/>
  <c r="AA13" i="2"/>
  <c r="N18" i="7"/>
  <c r="O18" i="7" s="1"/>
  <c r="P18" i="7" s="1"/>
  <c r="T34" i="3"/>
  <c r="T23" i="3"/>
  <c r="T36" i="4"/>
  <c r="T12" i="5"/>
  <c r="V12" i="3"/>
  <c r="V11" i="5"/>
  <c r="X33" i="4"/>
  <c r="X14" i="3"/>
  <c r="X51" i="9"/>
  <c r="Y20" i="2"/>
  <c r="AA9" i="2"/>
  <c r="Z10" i="2"/>
  <c r="Y8" i="5"/>
  <c r="X9" i="5"/>
  <c r="J54" i="9"/>
  <c r="J13" i="5"/>
  <c r="J14" i="5" s="1"/>
  <c r="J15" i="5" s="1"/>
  <c r="J28" i="5" s="1"/>
  <c r="K22" i="4"/>
  <c r="K23" i="4" s="1"/>
  <c r="L24" i="5"/>
  <c r="L35" i="3"/>
  <c r="L57" i="9" s="1"/>
  <c r="L7" i="4"/>
  <c r="L53" i="9"/>
  <c r="M20" i="4"/>
  <c r="M28" i="3"/>
  <c r="N29" i="4"/>
  <c r="N30" i="4" s="1"/>
  <c r="N28" i="4"/>
  <c r="Q8" i="7"/>
  <c r="U25" i="3"/>
  <c r="U33" i="3"/>
  <c r="U56" i="9" s="1"/>
  <c r="U52" i="9"/>
  <c r="W14" i="3"/>
  <c r="W33" i="4"/>
  <c r="W51" i="9"/>
  <c r="W34" i="4"/>
  <c r="W12" i="5" s="1"/>
  <c r="W35" i="4"/>
  <c r="W18" i="5" s="1"/>
  <c r="Y21" i="3"/>
  <c r="X10" i="3"/>
  <c r="X12" i="3" s="1"/>
  <c r="AA20" i="3" l="1"/>
  <c r="AB29" i="2"/>
  <c r="AB28" i="2"/>
  <c r="AA19" i="3"/>
  <c r="AA18" i="3"/>
  <c r="AB27" i="2"/>
  <c r="Z21" i="3"/>
  <c r="AB26" i="2"/>
  <c r="AA17" i="3"/>
  <c r="AA30" i="2"/>
  <c r="AA11" i="3"/>
  <c r="AB25" i="2"/>
  <c r="AB17" i="2"/>
  <c r="AA18" i="2"/>
  <c r="AA14" i="2"/>
  <c r="AB13" i="2"/>
  <c r="T25" i="3"/>
  <c r="T33" i="3"/>
  <c r="T56" i="9" s="1"/>
  <c r="T52" i="9"/>
  <c r="U37" i="4"/>
  <c r="T37" i="4"/>
  <c r="V14" i="3"/>
  <c r="V34" i="4"/>
  <c r="V35" i="4"/>
  <c r="V18" i="5" s="1"/>
  <c r="X36" i="4"/>
  <c r="X37" i="4" s="1"/>
  <c r="X11" i="5"/>
  <c r="X23" i="3"/>
  <c r="X34" i="3"/>
  <c r="Y7" i="3"/>
  <c r="Y24" i="2"/>
  <c r="AA10" i="2"/>
  <c r="AB9" i="2"/>
  <c r="Z8" i="5"/>
  <c r="Y9" i="5"/>
  <c r="K13" i="5"/>
  <c r="K14" i="5" s="1"/>
  <c r="K15" i="5" s="1"/>
  <c r="K28" i="5" s="1"/>
  <c r="K54" i="9"/>
  <c r="K55" i="9"/>
  <c r="L25" i="5"/>
  <c r="L27" i="5" s="1"/>
  <c r="L10" i="4"/>
  <c r="M29" i="3"/>
  <c r="M30" i="3" s="1"/>
  <c r="M24" i="5" s="1"/>
  <c r="N19" i="4"/>
  <c r="N27" i="3"/>
  <c r="O26" i="4"/>
  <c r="N19" i="5"/>
  <c r="N20" i="5" s="1"/>
  <c r="Q12" i="7"/>
  <c r="U7" i="7"/>
  <c r="U8" i="7" s="1"/>
  <c r="W23" i="3"/>
  <c r="W34" i="3"/>
  <c r="W36" i="4"/>
  <c r="W11" i="5"/>
  <c r="X35" i="4"/>
  <c r="X18" i="5" s="1"/>
  <c r="X34" i="4"/>
  <c r="X12" i="5" s="1"/>
  <c r="Z20" i="2"/>
  <c r="AB20" i="3" l="1"/>
  <c r="AC29" i="2"/>
  <c r="AB19" i="3"/>
  <c r="AC28" i="2"/>
  <c r="AB18" i="3"/>
  <c r="AC27" i="2"/>
  <c r="AC26" i="2"/>
  <c r="AB17" i="3"/>
  <c r="AC25" i="2"/>
  <c r="AB11" i="3"/>
  <c r="AB30" i="2"/>
  <c r="AB18" i="2"/>
  <c r="AC17" i="2"/>
  <c r="AC13" i="2"/>
  <c r="AB14" i="2"/>
  <c r="T7" i="7"/>
  <c r="U9" i="4"/>
  <c r="U10" i="7"/>
  <c r="U12" i="7" s="1"/>
  <c r="U17" i="7" s="1"/>
  <c r="T9" i="4"/>
  <c r="T10" i="7"/>
  <c r="V23" i="3"/>
  <c r="V34" i="3"/>
  <c r="V36" i="4"/>
  <c r="V12" i="5"/>
  <c r="X10" i="7"/>
  <c r="X9" i="4"/>
  <c r="X25" i="3"/>
  <c r="X33" i="3"/>
  <c r="X56" i="9" s="1"/>
  <c r="X52" i="9"/>
  <c r="Y33" i="4"/>
  <c r="Y51" i="9"/>
  <c r="Y10" i="3"/>
  <c r="AA20" i="2"/>
  <c r="AC9" i="2"/>
  <c r="AB10" i="2"/>
  <c r="AA8" i="5"/>
  <c r="Z9" i="5"/>
  <c r="M25" i="5"/>
  <c r="M27" i="5" s="1"/>
  <c r="L22" i="4"/>
  <c r="M35" i="3"/>
  <c r="M57" i="9" s="1"/>
  <c r="M7" i="4"/>
  <c r="M53" i="9"/>
  <c r="N20" i="4"/>
  <c r="N28" i="3"/>
  <c r="O29" i="4"/>
  <c r="O30" i="4" s="1"/>
  <c r="O28" i="4"/>
  <c r="Q17" i="7"/>
  <c r="W52" i="9"/>
  <c r="W25" i="3"/>
  <c r="W33" i="3"/>
  <c r="W56" i="9" s="1"/>
  <c r="Z7" i="3"/>
  <c r="Z24" i="2"/>
  <c r="Z10" i="3" s="1"/>
  <c r="Z12" i="3" s="1"/>
  <c r="AA21" i="3"/>
  <c r="AC20" i="3" l="1"/>
  <c r="AD29" i="2"/>
  <c r="AC19" i="3"/>
  <c r="AD28" i="2"/>
  <c r="AC18" i="3"/>
  <c r="AD27" i="2"/>
  <c r="AD26" i="2"/>
  <c r="AC17" i="3"/>
  <c r="AD25" i="2"/>
  <c r="AC11" i="3"/>
  <c r="AC30" i="2"/>
  <c r="AD17" i="2"/>
  <c r="AC18" i="2"/>
  <c r="AD13" i="2"/>
  <c r="AC14" i="2"/>
  <c r="T8" i="7"/>
  <c r="V25" i="3"/>
  <c r="V33" i="3"/>
  <c r="V56" i="9" s="1"/>
  <c r="V52" i="9"/>
  <c r="W37" i="4"/>
  <c r="V37" i="4"/>
  <c r="X7" i="7"/>
  <c r="X8" i="7" s="1"/>
  <c r="X12" i="7" s="1"/>
  <c r="X17" i="7" s="1"/>
  <c r="Y11" i="5"/>
  <c r="Y12" i="3"/>
  <c r="AA24" i="2"/>
  <c r="AA7" i="3"/>
  <c r="AD9" i="2"/>
  <c r="AC10" i="2"/>
  <c r="AB8" i="5"/>
  <c r="AA9" i="5"/>
  <c r="L23" i="4"/>
  <c r="L55" i="9"/>
  <c r="M10" i="4"/>
  <c r="N29" i="3"/>
  <c r="N30" i="3" s="1"/>
  <c r="O19" i="4"/>
  <c r="O27" i="3"/>
  <c r="P26" i="4"/>
  <c r="O19" i="5"/>
  <c r="O20" i="5" s="1"/>
  <c r="Q18" i="7"/>
  <c r="R18" i="7" s="1"/>
  <c r="S18" i="7" s="1"/>
  <c r="W7" i="7"/>
  <c r="W8" i="7" s="1"/>
  <c r="Z14" i="3"/>
  <c r="Z51" i="9"/>
  <c r="Z33" i="4"/>
  <c r="Z34" i="4"/>
  <c r="Z12" i="5" s="1"/>
  <c r="Z35" i="4"/>
  <c r="Z18" i="5" s="1"/>
  <c r="AB21" i="3"/>
  <c r="AB20" i="2"/>
  <c r="AE29" i="2" l="1"/>
  <c r="AD20" i="3"/>
  <c r="AD19" i="3"/>
  <c r="AE28" i="2"/>
  <c r="AD18" i="3"/>
  <c r="AE27" i="2"/>
  <c r="AD17" i="3"/>
  <c r="AE26" i="2"/>
  <c r="AC21" i="3"/>
  <c r="AD11" i="3"/>
  <c r="AE25" i="2"/>
  <c r="AD30" i="2"/>
  <c r="AE17" i="2"/>
  <c r="AD18" i="2"/>
  <c r="AD14" i="2"/>
  <c r="AE13" i="2"/>
  <c r="T12" i="7"/>
  <c r="V7" i="7"/>
  <c r="W9" i="4"/>
  <c r="W10" i="7"/>
  <c r="W12" i="7" s="1"/>
  <c r="W17" i="7" s="1"/>
  <c r="V9" i="4"/>
  <c r="V10" i="7"/>
  <c r="Y14" i="3"/>
  <c r="Y34" i="4"/>
  <c r="Y35" i="4"/>
  <c r="Y18" i="5" s="1"/>
  <c r="AA10" i="3"/>
  <c r="AA33" i="4"/>
  <c r="AA51" i="9"/>
  <c r="AE9" i="2"/>
  <c r="AD10" i="2"/>
  <c r="AD20" i="2" s="1"/>
  <c r="AC20" i="2"/>
  <c r="AC8" i="5"/>
  <c r="AB9" i="5"/>
  <c r="L54" i="9"/>
  <c r="L13" i="5"/>
  <c r="L14" i="5" s="1"/>
  <c r="L15" i="5" s="1"/>
  <c r="L28" i="5" s="1"/>
  <c r="M22" i="4"/>
  <c r="M23" i="4" s="1"/>
  <c r="N24" i="5"/>
  <c r="N35" i="3"/>
  <c r="N57" i="9" s="1"/>
  <c r="N7" i="4"/>
  <c r="N53" i="9"/>
  <c r="O20" i="4"/>
  <c r="O28" i="3"/>
  <c r="P29" i="4"/>
  <c r="P28" i="4"/>
  <c r="P30" i="4"/>
  <c r="Z34" i="3"/>
  <c r="Z23" i="3"/>
  <c r="Z36" i="4"/>
  <c r="Z11" i="5"/>
  <c r="AB7" i="3"/>
  <c r="AB24" i="2"/>
  <c r="AB10" i="3" s="1"/>
  <c r="AB12" i="3" s="1"/>
  <c r="AF29" i="2" l="1"/>
  <c r="AE20" i="3"/>
  <c r="AE19" i="3"/>
  <c r="AF28" i="2"/>
  <c r="AE18" i="3"/>
  <c r="AF27" i="2"/>
  <c r="AF26" i="2"/>
  <c r="AE17" i="3"/>
  <c r="AE11" i="3"/>
  <c r="AF25" i="2"/>
  <c r="AE30" i="2"/>
  <c r="AE18" i="2"/>
  <c r="AF17" i="2"/>
  <c r="AE14" i="2"/>
  <c r="AF13" i="2"/>
  <c r="T17" i="7"/>
  <c r="V8" i="7"/>
  <c r="Y34" i="3"/>
  <c r="Y23" i="3"/>
  <c r="Y36" i="4"/>
  <c r="Y12" i="5"/>
  <c r="AA12" i="3"/>
  <c r="AA11" i="5"/>
  <c r="AF9" i="2"/>
  <c r="AE10" i="2"/>
  <c r="AD7" i="3"/>
  <c r="AD24" i="2"/>
  <c r="AD10" i="3" s="1"/>
  <c r="AD12" i="3" s="1"/>
  <c r="AC24" i="2"/>
  <c r="AC7" i="3"/>
  <c r="AD8" i="5"/>
  <c r="AC9" i="5"/>
  <c r="M13" i="5"/>
  <c r="M14" i="5" s="1"/>
  <c r="M15" i="5" s="1"/>
  <c r="M28" i="5" s="1"/>
  <c r="M54" i="9"/>
  <c r="M55" i="9"/>
  <c r="N25" i="5"/>
  <c r="N27" i="5" s="1"/>
  <c r="N10" i="4"/>
  <c r="O29" i="3"/>
  <c r="O30" i="3" s="1"/>
  <c r="O24" i="5" s="1"/>
  <c r="P19" i="4"/>
  <c r="P27" i="3"/>
  <c r="Q26" i="4"/>
  <c r="P19" i="5"/>
  <c r="P20" i="5" s="1"/>
  <c r="Z25" i="3"/>
  <c r="Z33" i="3"/>
  <c r="Z56" i="9" s="1"/>
  <c r="Z52" i="9"/>
  <c r="AB33" i="4"/>
  <c r="AB51" i="9"/>
  <c r="AB14" i="3"/>
  <c r="AB34" i="4"/>
  <c r="AB12" i="5" s="1"/>
  <c r="AB35" i="4"/>
  <c r="AB18" i="5" s="1"/>
  <c r="AD21" i="3"/>
  <c r="AG29" i="2" l="1"/>
  <c r="AF20" i="3"/>
  <c r="AG28" i="2"/>
  <c r="AF19" i="3"/>
  <c r="AG27" i="2"/>
  <c r="AF18" i="3"/>
  <c r="AG26" i="2"/>
  <c r="AF17" i="3"/>
  <c r="AE21" i="3"/>
  <c r="AF11" i="3"/>
  <c r="AF30" i="2"/>
  <c r="AG25" i="2"/>
  <c r="AF18" i="2"/>
  <c r="AG17" i="2"/>
  <c r="AG13" i="2"/>
  <c r="AF14" i="2"/>
  <c r="T18" i="7"/>
  <c r="U18" i="7" s="1"/>
  <c r="V12" i="7"/>
  <c r="Y25" i="3"/>
  <c r="Y33" i="3"/>
  <c r="Y56" i="9" s="1"/>
  <c r="Y52" i="9"/>
  <c r="Z37" i="4"/>
  <c r="Y37" i="4"/>
  <c r="AA14" i="3"/>
  <c r="AA34" i="4"/>
  <c r="AA35" i="4"/>
  <c r="AA18" i="5" s="1"/>
  <c r="AG9" i="2"/>
  <c r="AF10" i="2"/>
  <c r="AE20" i="2"/>
  <c r="AD14" i="3"/>
  <c r="AD33" i="4"/>
  <c r="AD51" i="9"/>
  <c r="AD34" i="4"/>
  <c r="AD12" i="5" s="1"/>
  <c r="AD35" i="4"/>
  <c r="AD18" i="5" s="1"/>
  <c r="AC10" i="3"/>
  <c r="AC51" i="9"/>
  <c r="AC33" i="4"/>
  <c r="AE8" i="5"/>
  <c r="AD9" i="5"/>
  <c r="O25" i="5"/>
  <c r="O27" i="5" s="1"/>
  <c r="N22" i="4"/>
  <c r="O35" i="3"/>
  <c r="O57" i="9" s="1"/>
  <c r="O7" i="4"/>
  <c r="O53" i="9"/>
  <c r="P20" i="4"/>
  <c r="P28" i="3"/>
  <c r="Q29" i="4"/>
  <c r="Q28" i="4"/>
  <c r="Q30" i="4"/>
  <c r="Z7" i="7"/>
  <c r="Z8" i="7" s="1"/>
  <c r="AB36" i="4"/>
  <c r="AB11" i="5"/>
  <c r="AB34" i="3"/>
  <c r="AB23" i="3"/>
  <c r="AG20" i="3" l="1"/>
  <c r="AH29" i="2"/>
  <c r="AG19" i="3"/>
  <c r="AH28" i="2"/>
  <c r="AG18" i="3"/>
  <c r="AH27" i="2"/>
  <c r="AH26" i="2"/>
  <c r="AG17" i="3"/>
  <c r="AG30" i="2"/>
  <c r="AH25" i="2"/>
  <c r="AG11" i="3"/>
  <c r="AG18" i="2"/>
  <c r="AH17" i="2"/>
  <c r="AH13" i="2"/>
  <c r="AG14" i="2"/>
  <c r="V17" i="7"/>
  <c r="Y7" i="7"/>
  <c r="Z9" i="4"/>
  <c r="Z10" i="7"/>
  <c r="Z12" i="7" s="1"/>
  <c r="Z17" i="7" s="1"/>
  <c r="Y9" i="4"/>
  <c r="Y10" i="7"/>
  <c r="AA34" i="3"/>
  <c r="AA23" i="3"/>
  <c r="AA36" i="4"/>
  <c r="AA12" i="5"/>
  <c r="AG10" i="2"/>
  <c r="AH9" i="2"/>
  <c r="AE7" i="3"/>
  <c r="AE24" i="2"/>
  <c r="AD23" i="3"/>
  <c r="AD34" i="3"/>
  <c r="AD11" i="5"/>
  <c r="AD36" i="4"/>
  <c r="AC12" i="3"/>
  <c r="AC11" i="5"/>
  <c r="AF8" i="5"/>
  <c r="AE9" i="5"/>
  <c r="N23" i="4"/>
  <c r="N55" i="9"/>
  <c r="O10" i="4"/>
  <c r="P29" i="3"/>
  <c r="P30" i="3" s="1"/>
  <c r="Q19" i="4"/>
  <c r="Q27" i="3"/>
  <c r="R26" i="4"/>
  <c r="Q19" i="5"/>
  <c r="Q20" i="5" s="1"/>
  <c r="AB52" i="9"/>
  <c r="AB25" i="3"/>
  <c r="AB33" i="3"/>
  <c r="AB56" i="9" s="1"/>
  <c r="AF21" i="3"/>
  <c r="AF20" i="2"/>
  <c r="AH20" i="3" l="1"/>
  <c r="AI29" i="2"/>
  <c r="AI28" i="2"/>
  <c r="AH19" i="3"/>
  <c r="AI27" i="2"/>
  <c r="AH18" i="3"/>
  <c r="AH17" i="3"/>
  <c r="AH21" i="3" s="1"/>
  <c r="AI26" i="2"/>
  <c r="AG21" i="3"/>
  <c r="AH30" i="2"/>
  <c r="AI25" i="2"/>
  <c r="AH11" i="3"/>
  <c r="AH18" i="2"/>
  <c r="AI17" i="2"/>
  <c r="AI13" i="2"/>
  <c r="AH14" i="2"/>
  <c r="V18" i="7"/>
  <c r="W18" i="7" s="1"/>
  <c r="X18" i="7" s="1"/>
  <c r="Y8" i="7"/>
  <c r="AA25" i="3"/>
  <c r="AA33" i="3"/>
  <c r="AA56" i="9" s="1"/>
  <c r="AA52" i="9"/>
  <c r="AB37" i="4"/>
  <c r="AA37" i="4"/>
  <c r="AG20" i="2"/>
  <c r="AI9" i="2"/>
  <c r="AH10" i="2"/>
  <c r="AE51" i="9"/>
  <c r="AE33" i="4"/>
  <c r="AE10" i="3"/>
  <c r="AD25" i="3"/>
  <c r="AD33" i="3"/>
  <c r="AD56" i="9" s="1"/>
  <c r="AD52" i="9"/>
  <c r="AC14" i="3"/>
  <c r="AC34" i="4"/>
  <c r="AC35" i="4"/>
  <c r="AC18" i="5" s="1"/>
  <c r="AG8" i="5"/>
  <c r="AF9" i="5"/>
  <c r="N54" i="9"/>
  <c r="N13" i="5"/>
  <c r="N14" i="5" s="1"/>
  <c r="N15" i="5" s="1"/>
  <c r="N28" i="5" s="1"/>
  <c r="O22" i="4"/>
  <c r="O23" i="4" s="1"/>
  <c r="P24" i="5"/>
  <c r="P35" i="3"/>
  <c r="P57" i="9" s="1"/>
  <c r="P7" i="4"/>
  <c r="P53" i="9"/>
  <c r="Q20" i="4"/>
  <c r="Q28" i="3"/>
  <c r="R29" i="4"/>
  <c r="R30" i="4" s="1"/>
  <c r="R28" i="4"/>
  <c r="AB7" i="7"/>
  <c r="AB8" i="7" s="1"/>
  <c r="AF7" i="3"/>
  <c r="AF24" i="2"/>
  <c r="AI20" i="3" l="1"/>
  <c r="AJ29" i="2"/>
  <c r="AI19" i="3"/>
  <c r="AJ28" i="2"/>
  <c r="AJ27" i="2"/>
  <c r="AI18" i="3"/>
  <c r="AJ26" i="2"/>
  <c r="AI17" i="3"/>
  <c r="AI11" i="3"/>
  <c r="AJ25" i="2"/>
  <c r="AI30" i="2"/>
  <c r="AJ17" i="2"/>
  <c r="AI18" i="2"/>
  <c r="AJ13" i="2"/>
  <c r="AI14" i="2"/>
  <c r="Y12" i="7"/>
  <c r="AA7" i="7"/>
  <c r="AB9" i="4"/>
  <c r="AB10" i="7"/>
  <c r="AB12" i="7" s="1"/>
  <c r="AB17" i="7" s="1"/>
  <c r="AA9" i="4"/>
  <c r="AA10" i="7"/>
  <c r="AG24" i="2"/>
  <c r="AG10" i="3" s="1"/>
  <c r="AG12" i="3" s="1"/>
  <c r="AG7" i="3"/>
  <c r="AJ9" i="2"/>
  <c r="AI10" i="2"/>
  <c r="AE11" i="5"/>
  <c r="AE12" i="3"/>
  <c r="AD7" i="7"/>
  <c r="AD8" i="7" s="1"/>
  <c r="AC34" i="3"/>
  <c r="AC23" i="3"/>
  <c r="AC36" i="4"/>
  <c r="AC12" i="5"/>
  <c r="AH8" i="5"/>
  <c r="AG9" i="5"/>
  <c r="O13" i="5"/>
  <c r="O14" i="5" s="1"/>
  <c r="O15" i="5" s="1"/>
  <c r="O28" i="5" s="1"/>
  <c r="O54" i="9"/>
  <c r="O55" i="9"/>
  <c r="P25" i="5"/>
  <c r="P27" i="5" s="1"/>
  <c r="P10" i="4"/>
  <c r="Q29" i="3"/>
  <c r="Q30" i="3" s="1"/>
  <c r="Q24" i="5" s="1"/>
  <c r="R19" i="4"/>
  <c r="R27" i="3"/>
  <c r="S26" i="4"/>
  <c r="R19" i="5"/>
  <c r="R20" i="5" s="1"/>
  <c r="AF33" i="4"/>
  <c r="AF51" i="9"/>
  <c r="AF14" i="3"/>
  <c r="AH20" i="2"/>
  <c r="AF10" i="3"/>
  <c r="AF12" i="3" s="1"/>
  <c r="AJ20" i="3" l="1"/>
  <c r="AK29" i="2"/>
  <c r="AJ19" i="3"/>
  <c r="AK28" i="2"/>
  <c r="AK27" i="2"/>
  <c r="AJ18" i="3"/>
  <c r="AK26" i="2"/>
  <c r="AJ17" i="3"/>
  <c r="AI21" i="3"/>
  <c r="AJ11" i="3"/>
  <c r="AJ30" i="2"/>
  <c r="AK25" i="2"/>
  <c r="AK17" i="2"/>
  <c r="AJ18" i="2"/>
  <c r="AJ14" i="2"/>
  <c r="AK13" i="2"/>
  <c r="Y17" i="7"/>
  <c r="AA8" i="7"/>
  <c r="AG34" i="4"/>
  <c r="AG12" i="5" s="1"/>
  <c r="AG35" i="4"/>
  <c r="AG18" i="5" s="1"/>
  <c r="AG51" i="9"/>
  <c r="AG14" i="3"/>
  <c r="AG33" i="4"/>
  <c r="AJ10" i="2"/>
  <c r="AJ20" i="2" s="1"/>
  <c r="AK9" i="2"/>
  <c r="AI20" i="2"/>
  <c r="AE14" i="3"/>
  <c r="AE34" i="4"/>
  <c r="AE35" i="4"/>
  <c r="AE18" i="5" s="1"/>
  <c r="AC52" i="9"/>
  <c r="AC25" i="3"/>
  <c r="AC33" i="3"/>
  <c r="AC56" i="9" s="1"/>
  <c r="AD37" i="4"/>
  <c r="AC37" i="4"/>
  <c r="AI8" i="5"/>
  <c r="AH9" i="5"/>
  <c r="Q25" i="5"/>
  <c r="Q27" i="5" s="1"/>
  <c r="P22" i="4"/>
  <c r="Q35" i="3"/>
  <c r="Q57" i="9" s="1"/>
  <c r="Q7" i="4"/>
  <c r="Q53" i="9"/>
  <c r="R20" i="4"/>
  <c r="R28" i="3"/>
  <c r="S29" i="4"/>
  <c r="S28" i="4"/>
  <c r="S30" i="4"/>
  <c r="AF11" i="5"/>
  <c r="AF23" i="3"/>
  <c r="AF34" i="3"/>
  <c r="AH7" i="3"/>
  <c r="AH24" i="2"/>
  <c r="AF35" i="4"/>
  <c r="AF18" i="5" s="1"/>
  <c r="AF34" i="4"/>
  <c r="AK20" i="3" l="1"/>
  <c r="AL29" i="2"/>
  <c r="AL28" i="2"/>
  <c r="AK19" i="3"/>
  <c r="AK18" i="3"/>
  <c r="AL27" i="2"/>
  <c r="AL26" i="2"/>
  <c r="AK17" i="3"/>
  <c r="AK30" i="2"/>
  <c r="AK11" i="3"/>
  <c r="AL25" i="2"/>
  <c r="AK18" i="2"/>
  <c r="AL17" i="2"/>
  <c r="AK14" i="2"/>
  <c r="AL13" i="2"/>
  <c r="Y18" i="7"/>
  <c r="Z18" i="7" s="1"/>
  <c r="AA12" i="7"/>
  <c r="AG23" i="3"/>
  <c r="AG34" i="3"/>
  <c r="AG36" i="4"/>
  <c r="AG11" i="5"/>
  <c r="AJ7" i="3"/>
  <c r="AJ24" i="2"/>
  <c r="AJ10" i="3" s="1"/>
  <c r="AJ12" i="3" s="1"/>
  <c r="AK10" i="2"/>
  <c r="AL9" i="2"/>
  <c r="AI7" i="3"/>
  <c r="AI24" i="2"/>
  <c r="AI10" i="3" s="1"/>
  <c r="AI12" i="3" s="1"/>
  <c r="AE23" i="3"/>
  <c r="AE34" i="3"/>
  <c r="AE36" i="4"/>
  <c r="AE37" i="4" s="1"/>
  <c r="AE12" i="5"/>
  <c r="AC7" i="7"/>
  <c r="AD9" i="4"/>
  <c r="AD10" i="7"/>
  <c r="AD12" i="7" s="1"/>
  <c r="AD17" i="7" s="1"/>
  <c r="AC9" i="4"/>
  <c r="AC10" i="7"/>
  <c r="AJ8" i="5"/>
  <c r="AI9" i="5"/>
  <c r="P23" i="4"/>
  <c r="P55" i="9"/>
  <c r="Q10" i="4"/>
  <c r="R29" i="3"/>
  <c r="R30" i="3"/>
  <c r="S19" i="4"/>
  <c r="S27" i="3"/>
  <c r="T26" i="4"/>
  <c r="S19" i="5"/>
  <c r="S20" i="5" s="1"/>
  <c r="AF25" i="3"/>
  <c r="AF33" i="3"/>
  <c r="AF56" i="9" s="1"/>
  <c r="AF52" i="9"/>
  <c r="AH51" i="9"/>
  <c r="AH33" i="4"/>
  <c r="AH10" i="3"/>
  <c r="AJ21" i="3"/>
  <c r="AF12" i="5"/>
  <c r="AF36" i="4"/>
  <c r="AF37" i="4" s="1"/>
  <c r="AM29" i="2" l="1"/>
  <c r="AL20" i="3"/>
  <c r="AM28" i="2"/>
  <c r="AL19" i="3"/>
  <c r="AM27" i="2"/>
  <c r="AL18" i="3"/>
  <c r="AM26" i="2"/>
  <c r="AL17" i="3"/>
  <c r="AL21" i="3" s="1"/>
  <c r="AK21" i="3"/>
  <c r="AL11" i="3"/>
  <c r="AL30" i="2"/>
  <c r="AM25" i="2"/>
  <c r="AL18" i="2"/>
  <c r="AM17" i="2"/>
  <c r="AL14" i="2"/>
  <c r="AM13" i="2"/>
  <c r="AA17" i="7"/>
  <c r="AG25" i="3"/>
  <c r="AG33" i="3"/>
  <c r="AG56" i="9" s="1"/>
  <c r="AG52" i="9"/>
  <c r="AJ14" i="3"/>
  <c r="AJ51" i="9"/>
  <c r="AJ33" i="4"/>
  <c r="AJ34" i="4"/>
  <c r="AJ12" i="5" s="1"/>
  <c r="AJ35" i="4"/>
  <c r="AJ18" i="5" s="1"/>
  <c r="AK20" i="2"/>
  <c r="AM9" i="2"/>
  <c r="AL10" i="2"/>
  <c r="AI51" i="9"/>
  <c r="AI14" i="3"/>
  <c r="AI33" i="4"/>
  <c r="AI34" i="4"/>
  <c r="AI12" i="5" s="1"/>
  <c r="AI35" i="4"/>
  <c r="AI18" i="5" s="1"/>
  <c r="AE52" i="9"/>
  <c r="AE25" i="3"/>
  <c r="AE33" i="3"/>
  <c r="AE56" i="9" s="1"/>
  <c r="AE9" i="4"/>
  <c r="AE10" i="7"/>
  <c r="AC8" i="7"/>
  <c r="AK8" i="5"/>
  <c r="AJ9" i="5"/>
  <c r="P54" i="9"/>
  <c r="P13" i="5"/>
  <c r="P14" i="5" s="1"/>
  <c r="P15" i="5" s="1"/>
  <c r="P28" i="5" s="1"/>
  <c r="Q22" i="4"/>
  <c r="Q23" i="4" s="1"/>
  <c r="R24" i="5"/>
  <c r="R35" i="3"/>
  <c r="R57" i="9" s="1"/>
  <c r="R7" i="4"/>
  <c r="R53" i="9"/>
  <c r="S20" i="4"/>
  <c r="S28" i="3"/>
  <c r="T29" i="4"/>
  <c r="T28" i="4"/>
  <c r="T30" i="4"/>
  <c r="AF7" i="7"/>
  <c r="AF8" i="7" s="1"/>
  <c r="AH11" i="5"/>
  <c r="AH12" i="3"/>
  <c r="AF10" i="7"/>
  <c r="AF9" i="4"/>
  <c r="AG37" i="4"/>
  <c r="AN29" i="2" l="1"/>
  <c r="AM20" i="3"/>
  <c r="AN28" i="2"/>
  <c r="AM19" i="3"/>
  <c r="AN27" i="2"/>
  <c r="AM18" i="3"/>
  <c r="AM17" i="3"/>
  <c r="AN26" i="2"/>
  <c r="AM11" i="3"/>
  <c r="AN25" i="2"/>
  <c r="AM30" i="2"/>
  <c r="AN17" i="2"/>
  <c r="AM18" i="2"/>
  <c r="AM14" i="2"/>
  <c r="AN13" i="2"/>
  <c r="AA18" i="7"/>
  <c r="AB18" i="7" s="1"/>
  <c r="AG7" i="7"/>
  <c r="AG8" i="7" s="1"/>
  <c r="AJ23" i="3"/>
  <c r="AJ34" i="3"/>
  <c r="AJ36" i="4"/>
  <c r="AJ11" i="5"/>
  <c r="AK7" i="3"/>
  <c r="AK24" i="2"/>
  <c r="AN9" i="2"/>
  <c r="AM10" i="2"/>
  <c r="AI23" i="3"/>
  <c r="AI34" i="3"/>
  <c r="AI36" i="4"/>
  <c r="AI11" i="5"/>
  <c r="AE7" i="7"/>
  <c r="AC12" i="7"/>
  <c r="AL8" i="5"/>
  <c r="AK9" i="5"/>
  <c r="Q13" i="5"/>
  <c r="Q14" i="5" s="1"/>
  <c r="Q15" i="5" s="1"/>
  <c r="Q28" i="5" s="1"/>
  <c r="Q54" i="9"/>
  <c r="Q55" i="9"/>
  <c r="R25" i="5"/>
  <c r="R27" i="5" s="1"/>
  <c r="R10" i="4"/>
  <c r="S29" i="3"/>
  <c r="S30" i="3" s="1"/>
  <c r="S24" i="5" s="1"/>
  <c r="T19" i="4"/>
  <c r="T27" i="3"/>
  <c r="U26" i="4"/>
  <c r="T19" i="5"/>
  <c r="T20" i="5" s="1"/>
  <c r="AH14" i="3"/>
  <c r="AH34" i="4"/>
  <c r="AH35" i="4"/>
  <c r="AH18" i="5" s="1"/>
  <c r="AG9" i="4"/>
  <c r="AG10" i="7"/>
  <c r="AL20" i="2"/>
  <c r="AF12" i="7"/>
  <c r="AF17" i="7" s="1"/>
  <c r="AO29" i="2" l="1"/>
  <c r="AN20" i="3"/>
  <c r="AO28" i="2"/>
  <c r="AN19" i="3"/>
  <c r="AN18" i="3"/>
  <c r="AO27" i="2"/>
  <c r="AM21" i="3"/>
  <c r="AO26" i="2"/>
  <c r="AN17" i="3"/>
  <c r="AO25" i="2"/>
  <c r="AN11" i="3"/>
  <c r="AN30" i="2"/>
  <c r="AN18" i="2"/>
  <c r="AO17" i="2"/>
  <c r="AN14" i="2"/>
  <c r="AO13" i="2"/>
  <c r="AJ25" i="3"/>
  <c r="AJ33" i="3"/>
  <c r="AJ56" i="9" s="1"/>
  <c r="AJ52" i="9"/>
  <c r="AK33" i="4"/>
  <c r="AK51" i="9"/>
  <c r="AK10" i="3"/>
  <c r="AN10" i="2"/>
  <c r="AO9" i="2"/>
  <c r="AM20" i="2"/>
  <c r="AI25" i="3"/>
  <c r="AI33" i="3"/>
  <c r="AI56" i="9" s="1"/>
  <c r="AI52" i="9"/>
  <c r="AE8" i="7"/>
  <c r="AC17" i="7"/>
  <c r="AM8" i="5"/>
  <c r="AL9" i="5"/>
  <c r="S25" i="5"/>
  <c r="S27" i="5" s="1"/>
  <c r="R22" i="4"/>
  <c r="S35" i="3"/>
  <c r="S57" i="9" s="1"/>
  <c r="S7" i="4"/>
  <c r="S53" i="9"/>
  <c r="T20" i="4"/>
  <c r="T28" i="3"/>
  <c r="U29" i="4"/>
  <c r="U28" i="4"/>
  <c r="U30" i="4"/>
  <c r="AH23" i="3"/>
  <c r="AH34" i="3"/>
  <c r="AH36" i="4"/>
  <c r="AH12" i="5"/>
  <c r="AL7" i="3"/>
  <c r="AL24" i="2"/>
  <c r="AL10" i="3" s="1"/>
  <c r="AL12" i="3" s="1"/>
  <c r="AG12" i="7"/>
  <c r="AG17" i="7" s="1"/>
  <c r="AJ37" i="4"/>
  <c r="AO20" i="3" l="1"/>
  <c r="AP29" i="2"/>
  <c r="AP28" i="2"/>
  <c r="AO19" i="3"/>
  <c r="AO18" i="3"/>
  <c r="AP27" i="2"/>
  <c r="AP26" i="2"/>
  <c r="AO17" i="3"/>
  <c r="AO11" i="3"/>
  <c r="AP25" i="2"/>
  <c r="AO30" i="2"/>
  <c r="AO18" i="2"/>
  <c r="AP17" i="2"/>
  <c r="AO14" i="2"/>
  <c r="AP13" i="2"/>
  <c r="AJ7" i="7"/>
  <c r="AJ8" i="7" s="1"/>
  <c r="AK11" i="5"/>
  <c r="AK12" i="3"/>
  <c r="AP9" i="2"/>
  <c r="AO10" i="2"/>
  <c r="AM24" i="2"/>
  <c r="AM7" i="3"/>
  <c r="AI7" i="7"/>
  <c r="AI8" i="7" s="1"/>
  <c r="AE12" i="7"/>
  <c r="AC18" i="7"/>
  <c r="AD18" i="7" s="1"/>
  <c r="AN8" i="5"/>
  <c r="AM9" i="5"/>
  <c r="R23" i="4"/>
  <c r="R55" i="9"/>
  <c r="S10" i="4"/>
  <c r="T29" i="3"/>
  <c r="T30" i="3" s="1"/>
  <c r="U19" i="4"/>
  <c r="U27" i="3"/>
  <c r="V26" i="4"/>
  <c r="U19" i="5"/>
  <c r="U20" i="5" s="1"/>
  <c r="AH52" i="9"/>
  <c r="AH25" i="3"/>
  <c r="AH33" i="3"/>
  <c r="AH56" i="9" s="1"/>
  <c r="AI37" i="4"/>
  <c r="AH37" i="4"/>
  <c r="AL51" i="9"/>
  <c r="AL33" i="4"/>
  <c r="AL14" i="3"/>
  <c r="AL34" i="4"/>
  <c r="AL12" i="5" s="1"/>
  <c r="AL35" i="4"/>
  <c r="AL18" i="5" s="1"/>
  <c r="AJ10" i="7"/>
  <c r="AJ9" i="4"/>
  <c r="AN21" i="3"/>
  <c r="AN20" i="2"/>
  <c r="AP20" i="3" l="1"/>
  <c r="AQ29" i="2"/>
  <c r="AP19" i="3"/>
  <c r="AQ28" i="2"/>
  <c r="AQ27" i="2"/>
  <c r="AP18" i="3"/>
  <c r="AQ26" i="2"/>
  <c r="AP17" i="3"/>
  <c r="AO21" i="3"/>
  <c r="AP11" i="3"/>
  <c r="AP30" i="2"/>
  <c r="AQ25" i="2"/>
  <c r="AQ17" i="2"/>
  <c r="AP18" i="2"/>
  <c r="AQ13" i="2"/>
  <c r="AP14" i="2"/>
  <c r="AK14" i="3"/>
  <c r="AK34" i="4"/>
  <c r="AK35" i="4"/>
  <c r="AK18" i="5" s="1"/>
  <c r="AQ9" i="2"/>
  <c r="AP10" i="2"/>
  <c r="AP20" i="2" s="1"/>
  <c r="AO20" i="2"/>
  <c r="AM10" i="3"/>
  <c r="AM51" i="9"/>
  <c r="AM33" i="4"/>
  <c r="AE17" i="7"/>
  <c r="AO8" i="5"/>
  <c r="AN9" i="5"/>
  <c r="R54" i="9"/>
  <c r="R13" i="5"/>
  <c r="R14" i="5" s="1"/>
  <c r="R15" i="5" s="1"/>
  <c r="R28" i="5" s="1"/>
  <c r="S22" i="4"/>
  <c r="S23" i="4" s="1"/>
  <c r="T24" i="5"/>
  <c r="T35" i="3"/>
  <c r="T57" i="9" s="1"/>
  <c r="T7" i="4"/>
  <c r="T53" i="9"/>
  <c r="U20" i="4"/>
  <c r="U28" i="3"/>
  <c r="V29" i="4"/>
  <c r="V30" i="4" s="1"/>
  <c r="V28" i="4"/>
  <c r="AH7" i="7"/>
  <c r="AI9" i="4"/>
  <c r="AI10" i="7"/>
  <c r="AI12" i="7" s="1"/>
  <c r="AI17" i="7" s="1"/>
  <c r="AH10" i="7"/>
  <c r="AH9" i="4"/>
  <c r="AL36" i="4"/>
  <c r="AL11" i="5"/>
  <c r="AL23" i="3"/>
  <c r="AL34" i="3"/>
  <c r="AN24" i="2"/>
  <c r="AN7" i="3"/>
  <c r="AJ12" i="7"/>
  <c r="AJ17" i="7" s="1"/>
  <c r="AR29" i="2" l="1"/>
  <c r="AQ20" i="3"/>
  <c r="AQ19" i="3"/>
  <c r="AR28" i="2"/>
  <c r="AQ18" i="3"/>
  <c r="AR27" i="2"/>
  <c r="AQ17" i="3"/>
  <c r="AR26" i="2"/>
  <c r="AQ30" i="2"/>
  <c r="AQ11" i="3"/>
  <c r="AR25" i="2"/>
  <c r="AQ18" i="2"/>
  <c r="AR17" i="2"/>
  <c r="AQ14" i="2"/>
  <c r="AR13" i="2"/>
  <c r="AK34" i="3"/>
  <c r="AK23" i="3"/>
  <c r="AK36" i="4"/>
  <c r="AK12" i="5"/>
  <c r="AQ10" i="2"/>
  <c r="AR9" i="2"/>
  <c r="AP24" i="2"/>
  <c r="AP10" i="3" s="1"/>
  <c r="AP12" i="3" s="1"/>
  <c r="AP7" i="3"/>
  <c r="AO24" i="2"/>
  <c r="AO10" i="3" s="1"/>
  <c r="AO12" i="3" s="1"/>
  <c r="AO7" i="3"/>
  <c r="AM12" i="3"/>
  <c r="AM11" i="5"/>
  <c r="AE18" i="7"/>
  <c r="AF18" i="7" s="1"/>
  <c r="AG18" i="7" s="1"/>
  <c r="AP8" i="5"/>
  <c r="AO9" i="5"/>
  <c r="S13" i="5"/>
  <c r="S14" i="5" s="1"/>
  <c r="S15" i="5" s="1"/>
  <c r="S28" i="5" s="1"/>
  <c r="S54" i="9"/>
  <c r="S55" i="9"/>
  <c r="T25" i="5"/>
  <c r="T27" i="5" s="1"/>
  <c r="T10" i="4"/>
  <c r="U29" i="3"/>
  <c r="U30" i="3" s="1"/>
  <c r="U24" i="5" s="1"/>
  <c r="V19" i="4"/>
  <c r="V27" i="3"/>
  <c r="W26" i="4"/>
  <c r="V19" i="5"/>
  <c r="V20" i="5" s="1"/>
  <c r="AH8" i="7"/>
  <c r="AL25" i="3"/>
  <c r="AL33" i="3"/>
  <c r="AL56" i="9" s="1"/>
  <c r="AL52" i="9"/>
  <c r="AN14" i="3"/>
  <c r="AN33" i="4"/>
  <c r="AN51" i="9"/>
  <c r="AP21" i="3"/>
  <c r="AN10" i="3"/>
  <c r="AN12" i="3" s="1"/>
  <c r="AR20" i="3" l="1"/>
  <c r="AS29" i="2"/>
  <c r="AR19" i="3"/>
  <c r="AS28" i="2"/>
  <c r="AR18" i="3"/>
  <c r="AS27" i="2"/>
  <c r="AQ21" i="3"/>
  <c r="AR17" i="3"/>
  <c r="AS26" i="2"/>
  <c r="AS25" i="2"/>
  <c r="AR11" i="3"/>
  <c r="AR30" i="2"/>
  <c r="AS17" i="2"/>
  <c r="AR18" i="2"/>
  <c r="AR14" i="2"/>
  <c r="AS13" i="2"/>
  <c r="AK25" i="3"/>
  <c r="AK33" i="3"/>
  <c r="AK56" i="9" s="1"/>
  <c r="AK52" i="9"/>
  <c r="AL37" i="4"/>
  <c r="AK37" i="4"/>
  <c r="AQ20" i="2"/>
  <c r="AR10" i="2"/>
  <c r="AS9" i="2"/>
  <c r="AP34" i="4"/>
  <c r="AP12" i="5" s="1"/>
  <c r="AP35" i="4"/>
  <c r="AP18" i="5" s="1"/>
  <c r="AP51" i="9"/>
  <c r="AP33" i="4"/>
  <c r="AP14" i="3"/>
  <c r="AO34" i="4"/>
  <c r="AO12" i="5" s="1"/>
  <c r="AO35" i="4"/>
  <c r="AO18" i="5" s="1"/>
  <c r="AO14" i="3"/>
  <c r="AO33" i="4"/>
  <c r="AO51" i="9"/>
  <c r="AM14" i="3"/>
  <c r="AM34" i="4"/>
  <c r="AM35" i="4"/>
  <c r="AM18" i="5" s="1"/>
  <c r="AQ8" i="5"/>
  <c r="AP9" i="5"/>
  <c r="U25" i="5"/>
  <c r="U27" i="5" s="1"/>
  <c r="T22" i="4"/>
  <c r="U35" i="3"/>
  <c r="U57" i="9" s="1"/>
  <c r="U7" i="4"/>
  <c r="U53" i="9"/>
  <c r="V20" i="4"/>
  <c r="V28" i="3"/>
  <c r="W29" i="4"/>
  <c r="W28" i="4"/>
  <c r="W30" i="4"/>
  <c r="AH12" i="7"/>
  <c r="AL7" i="7"/>
  <c r="AL8" i="7" s="1"/>
  <c r="AN23" i="3"/>
  <c r="AN34" i="3"/>
  <c r="AN11" i="5"/>
  <c r="AN35" i="4"/>
  <c r="AN18" i="5" s="1"/>
  <c r="AN34" i="4"/>
  <c r="AS20" i="3" l="1"/>
  <c r="AT29" i="2"/>
  <c r="AT28" i="2"/>
  <c r="AS19" i="3"/>
  <c r="AT27" i="2"/>
  <c r="AS18" i="3"/>
  <c r="AS17" i="3"/>
  <c r="AT26" i="2"/>
  <c r="AS30" i="2"/>
  <c r="AT25" i="2"/>
  <c r="AS11" i="3"/>
  <c r="AT17" i="2"/>
  <c r="AS18" i="2"/>
  <c r="AT13" i="2"/>
  <c r="AS14" i="2"/>
  <c r="AK7" i="7"/>
  <c r="AL10" i="7"/>
  <c r="AL12" i="7" s="1"/>
  <c r="AL17" i="7" s="1"/>
  <c r="AL9" i="4"/>
  <c r="AK9" i="4"/>
  <c r="AK10" i="7"/>
  <c r="AQ7" i="3"/>
  <c r="AQ24" i="2"/>
  <c r="AS10" i="2"/>
  <c r="AT9" i="2"/>
  <c r="AP36" i="4"/>
  <c r="AP11" i="5"/>
  <c r="AP23" i="3"/>
  <c r="AP34" i="3"/>
  <c r="AO23" i="3"/>
  <c r="AO34" i="3"/>
  <c r="AO36" i="4"/>
  <c r="AO11" i="5"/>
  <c r="AM34" i="3"/>
  <c r="AM23" i="3"/>
  <c r="AM36" i="4"/>
  <c r="AM37" i="4" s="1"/>
  <c r="AM12" i="5"/>
  <c r="AR8" i="5"/>
  <c r="AQ9" i="5"/>
  <c r="T23" i="4"/>
  <c r="T55" i="9"/>
  <c r="U10" i="4"/>
  <c r="V29" i="3"/>
  <c r="V30" i="3" s="1"/>
  <c r="W19" i="4"/>
  <c r="W27" i="3"/>
  <c r="X26" i="4"/>
  <c r="W19" i="5"/>
  <c r="W20" i="5" s="1"/>
  <c r="AH17" i="7"/>
  <c r="AN25" i="3"/>
  <c r="AN33" i="3"/>
  <c r="AN56" i="9" s="1"/>
  <c r="AN52" i="9"/>
  <c r="AR21" i="3"/>
  <c r="AR20" i="2"/>
  <c r="AN12" i="5"/>
  <c r="AN36" i="4"/>
  <c r="AN37" i="4" s="1"/>
  <c r="AT20" i="3" l="1"/>
  <c r="AU29" i="2"/>
  <c r="AU28" i="2"/>
  <c r="AT19" i="3"/>
  <c r="AT18" i="3"/>
  <c r="AU27" i="2"/>
  <c r="AS21" i="3"/>
  <c r="AT17" i="3"/>
  <c r="AU26" i="2"/>
  <c r="AT30" i="2"/>
  <c r="AU25" i="2"/>
  <c r="AT11" i="3"/>
  <c r="AU17" i="2"/>
  <c r="AT18" i="2"/>
  <c r="AU13" i="2"/>
  <c r="AT14" i="2"/>
  <c r="AK8" i="7"/>
  <c r="AQ33" i="4"/>
  <c r="AQ51" i="9"/>
  <c r="AQ10" i="3"/>
  <c r="AU9" i="2"/>
  <c r="AT10" i="2"/>
  <c r="AP25" i="3"/>
  <c r="AP33" i="3"/>
  <c r="AP56" i="9" s="1"/>
  <c r="AP52" i="9"/>
  <c r="AO25" i="3"/>
  <c r="AO33" i="3"/>
  <c r="AO56" i="9" s="1"/>
  <c r="AO52" i="9"/>
  <c r="AM25" i="3"/>
  <c r="AM33" i="3"/>
  <c r="AM56" i="9" s="1"/>
  <c r="AM52" i="9"/>
  <c r="AM9" i="4"/>
  <c r="AM10" i="7"/>
  <c r="AS8" i="5"/>
  <c r="AR9" i="5"/>
  <c r="T54" i="9"/>
  <c r="T13" i="5"/>
  <c r="T14" i="5" s="1"/>
  <c r="T15" i="5" s="1"/>
  <c r="T28" i="5" s="1"/>
  <c r="U22" i="4"/>
  <c r="U23" i="4" s="1"/>
  <c r="V24" i="5"/>
  <c r="V35" i="3"/>
  <c r="V57" i="9" s="1"/>
  <c r="V7" i="4"/>
  <c r="V53" i="9"/>
  <c r="W20" i="4"/>
  <c r="W28" i="3"/>
  <c r="X29" i="4"/>
  <c r="X30" i="4" s="1"/>
  <c r="X28" i="4"/>
  <c r="AH18" i="7"/>
  <c r="AI18" i="7" s="1"/>
  <c r="AJ18" i="7" s="1"/>
  <c r="AN7" i="7"/>
  <c r="AN8" i="7" s="1"/>
  <c r="AR7" i="3"/>
  <c r="AR24" i="2"/>
  <c r="AN10" i="7"/>
  <c r="AN9" i="4"/>
  <c r="AS20" i="2"/>
  <c r="AP37" i="4"/>
  <c r="AO37" i="4"/>
  <c r="AV29" i="2" l="1"/>
  <c r="AU20" i="3"/>
  <c r="AV28" i="2"/>
  <c r="AU19" i="3"/>
  <c r="AU18" i="3"/>
  <c r="AV27" i="2"/>
  <c r="AU17" i="3"/>
  <c r="AV26" i="2"/>
  <c r="AV25" i="2"/>
  <c r="AU30" i="2"/>
  <c r="AU11" i="3"/>
  <c r="AU18" i="2"/>
  <c r="AV17" i="2"/>
  <c r="AV13" i="2"/>
  <c r="AU14" i="2"/>
  <c r="AK12" i="7"/>
  <c r="AQ11" i="5"/>
  <c r="AQ12" i="3"/>
  <c r="AV9" i="2"/>
  <c r="AU10" i="2"/>
  <c r="AU20" i="2" s="1"/>
  <c r="AT20" i="2"/>
  <c r="AP7" i="7"/>
  <c r="AP8" i="7" s="1"/>
  <c r="AP12" i="7" s="1"/>
  <c r="AP17" i="7" s="1"/>
  <c r="AO7" i="7"/>
  <c r="AO8" i="7" s="1"/>
  <c r="AO12" i="7" s="1"/>
  <c r="AO17" i="7" s="1"/>
  <c r="AM7" i="7"/>
  <c r="AT8" i="5"/>
  <c r="AS9" i="5"/>
  <c r="U13" i="5"/>
  <c r="U14" i="5" s="1"/>
  <c r="U15" i="5" s="1"/>
  <c r="U28" i="5" s="1"/>
  <c r="U54" i="9"/>
  <c r="U55" i="9"/>
  <c r="V25" i="5"/>
  <c r="V27" i="5" s="1"/>
  <c r="V10" i="4"/>
  <c r="W29" i="3"/>
  <c r="W30" i="3" s="1"/>
  <c r="W24" i="5" s="1"/>
  <c r="X19" i="4"/>
  <c r="X27" i="3"/>
  <c r="Y26" i="4"/>
  <c r="X19" i="5"/>
  <c r="X20" i="5" s="1"/>
  <c r="AR51" i="9"/>
  <c r="AR14" i="3"/>
  <c r="AR33" i="4"/>
  <c r="AS7" i="3"/>
  <c r="AS24" i="2"/>
  <c r="AS10" i="3" s="1"/>
  <c r="AS12" i="3" s="1"/>
  <c r="AP9" i="4"/>
  <c r="AP10" i="7"/>
  <c r="AO9" i="4"/>
  <c r="AO10" i="7"/>
  <c r="AT21" i="3"/>
  <c r="AN12" i="7"/>
  <c r="AN17" i="7" s="1"/>
  <c r="AR10" i="3"/>
  <c r="AR12" i="3" s="1"/>
  <c r="AV20" i="3" l="1"/>
  <c r="AW29" i="2"/>
  <c r="AW28" i="2"/>
  <c r="AV19" i="3"/>
  <c r="AW27" i="2"/>
  <c r="AV18" i="3"/>
  <c r="AU21" i="3"/>
  <c r="AV17" i="3"/>
  <c r="AW26" i="2"/>
  <c r="AW25" i="2"/>
  <c r="AV30" i="2"/>
  <c r="AV11" i="3"/>
  <c r="AV18" i="2"/>
  <c r="AW17" i="2"/>
  <c r="AW13" i="2"/>
  <c r="AV14" i="2"/>
  <c r="AK17" i="7"/>
  <c r="AQ14" i="3"/>
  <c r="AQ34" i="4"/>
  <c r="AQ35" i="4"/>
  <c r="AQ18" i="5" s="1"/>
  <c r="AV10" i="2"/>
  <c r="AW9" i="2"/>
  <c r="AU24" i="2"/>
  <c r="AU10" i="3" s="1"/>
  <c r="AU12" i="3" s="1"/>
  <c r="AU7" i="3"/>
  <c r="AT24" i="2"/>
  <c r="AT7" i="3"/>
  <c r="AM8" i="7"/>
  <c r="AU8" i="5"/>
  <c r="AT9" i="5"/>
  <c r="W25" i="5"/>
  <c r="W27" i="5" s="1"/>
  <c r="V22" i="4"/>
  <c r="W35" i="3"/>
  <c r="W57" i="9" s="1"/>
  <c r="W7" i="4"/>
  <c r="W53" i="9"/>
  <c r="X20" i="4"/>
  <c r="X28" i="3"/>
  <c r="Y29" i="4"/>
  <c r="Y30" i="4" s="1"/>
  <c r="Y28" i="4"/>
  <c r="AR23" i="3"/>
  <c r="AR34" i="3"/>
  <c r="AR36" i="4"/>
  <c r="AR11" i="5"/>
  <c r="AS33" i="4"/>
  <c r="AS51" i="9"/>
  <c r="AS14" i="3"/>
  <c r="AS34" i="4"/>
  <c r="AS12" i="5" s="1"/>
  <c r="AS35" i="4"/>
  <c r="AS18" i="5" s="1"/>
  <c r="AR35" i="4"/>
  <c r="AR18" i="5" s="1"/>
  <c r="AR34" i="4"/>
  <c r="AR12" i="5" s="1"/>
  <c r="AW20" i="3" l="1"/>
  <c r="AX29" i="2"/>
  <c r="AX28" i="2"/>
  <c r="AW19" i="3"/>
  <c r="AW18" i="3"/>
  <c r="AX27" i="2"/>
  <c r="AW17" i="3"/>
  <c r="AX26" i="2"/>
  <c r="AW30" i="2"/>
  <c r="AX25" i="2"/>
  <c r="AW11" i="3"/>
  <c r="AX17" i="2"/>
  <c r="AW18" i="2"/>
  <c r="AX13" i="2"/>
  <c r="AW14" i="2"/>
  <c r="AK18" i="7"/>
  <c r="AL18" i="7" s="1"/>
  <c r="AQ34" i="3"/>
  <c r="AQ23" i="3"/>
  <c r="AQ36" i="4"/>
  <c r="AQ12" i="5"/>
  <c r="AV20" i="2"/>
  <c r="AX9" i="2"/>
  <c r="AW10" i="2"/>
  <c r="AU34" i="4"/>
  <c r="AU12" i="5" s="1"/>
  <c r="AU35" i="4"/>
  <c r="AU18" i="5" s="1"/>
  <c r="AU51" i="9"/>
  <c r="AU14" i="3"/>
  <c r="AU33" i="4"/>
  <c r="AT10" i="3"/>
  <c r="AT33" i="4"/>
  <c r="AT51" i="9"/>
  <c r="AM12" i="7"/>
  <c r="AV8" i="5"/>
  <c r="AU9" i="5"/>
  <c r="V23" i="4"/>
  <c r="V55" i="9"/>
  <c r="W10" i="4"/>
  <c r="X29" i="3"/>
  <c r="X30" i="3" s="1"/>
  <c r="Y19" i="4"/>
  <c r="Y27" i="3"/>
  <c r="Z26" i="4"/>
  <c r="Y19" i="5"/>
  <c r="Y20" i="5" s="1"/>
  <c r="AR25" i="3"/>
  <c r="AR33" i="3"/>
  <c r="AR56" i="9" s="1"/>
  <c r="AR52" i="9"/>
  <c r="AS36" i="4"/>
  <c r="AS37" i="4" s="1"/>
  <c r="AS11" i="5"/>
  <c r="AS23" i="3"/>
  <c r="AS34" i="3"/>
  <c r="AV21" i="3"/>
  <c r="AX20" i="3" l="1"/>
  <c r="AY29" i="2"/>
  <c r="AY28" i="2"/>
  <c r="AX19" i="3"/>
  <c r="AY27" i="2"/>
  <c r="AX18" i="3"/>
  <c r="AX17" i="3"/>
  <c r="AX21" i="3" s="1"/>
  <c r="AY26" i="2"/>
  <c r="AX30" i="2"/>
  <c r="AY25" i="2"/>
  <c r="AX11" i="3"/>
  <c r="AX18" i="2"/>
  <c r="AY17" i="2"/>
  <c r="AY18" i="2" s="1"/>
  <c r="AX14" i="2"/>
  <c r="C14" i="2" s="1"/>
  <c r="AY13" i="2"/>
  <c r="AY14" i="2" s="1"/>
  <c r="AQ25" i="3"/>
  <c r="AQ33" i="3"/>
  <c r="AQ56" i="9" s="1"/>
  <c r="AQ52" i="9"/>
  <c r="AR37" i="4"/>
  <c r="AQ37" i="4"/>
  <c r="AV24" i="2"/>
  <c r="AV7" i="3"/>
  <c r="AX10" i="2"/>
  <c r="AY9" i="2"/>
  <c r="AY10" i="2" s="1"/>
  <c r="AU23" i="3"/>
  <c r="AU34" i="3"/>
  <c r="AU36" i="4"/>
  <c r="AU11" i="5"/>
  <c r="AT12" i="3"/>
  <c r="AT11" i="5"/>
  <c r="AM17" i="7"/>
  <c r="AW8" i="5"/>
  <c r="AV9" i="5"/>
  <c r="V54" i="9"/>
  <c r="V13" i="5"/>
  <c r="V14" i="5" s="1"/>
  <c r="V15" i="5" s="1"/>
  <c r="V28" i="5" s="1"/>
  <c r="W22" i="4"/>
  <c r="W23" i="4" s="1"/>
  <c r="X24" i="5"/>
  <c r="X35" i="3"/>
  <c r="X57" i="9" s="1"/>
  <c r="X7" i="4"/>
  <c r="X53" i="9"/>
  <c r="Y20" i="4"/>
  <c r="Y28" i="3"/>
  <c r="Z29" i="4"/>
  <c r="Z30" i="4" s="1"/>
  <c r="Z28" i="4"/>
  <c r="AR7" i="7"/>
  <c r="AR8" i="7" s="1"/>
  <c r="AS10" i="7"/>
  <c r="AS9" i="4"/>
  <c r="AS25" i="3"/>
  <c r="AS33" i="3"/>
  <c r="AS56" i="9" s="1"/>
  <c r="AS52" i="9"/>
  <c r="AW20" i="2"/>
  <c r="AW21" i="3"/>
  <c r="C29" i="2" l="1"/>
  <c r="AY20" i="3"/>
  <c r="C20" i="3" s="1"/>
  <c r="C28" i="2"/>
  <c r="AY19" i="3"/>
  <c r="C19" i="3" s="1"/>
  <c r="C27" i="2"/>
  <c r="AY18" i="3"/>
  <c r="C18" i="3" s="1"/>
  <c r="C26" i="2"/>
  <c r="AY17" i="3"/>
  <c r="C25" i="2"/>
  <c r="AY30" i="2"/>
  <c r="AY11" i="3"/>
  <c r="C11" i="3" s="1"/>
  <c r="AQ7" i="7"/>
  <c r="AR10" i="7"/>
  <c r="AR12" i="7" s="1"/>
  <c r="AR17" i="7" s="1"/>
  <c r="AR9" i="4"/>
  <c r="AQ10" i="7"/>
  <c r="AQ9" i="4"/>
  <c r="AV10" i="3"/>
  <c r="AV51" i="9"/>
  <c r="AV33" i="4"/>
  <c r="C10" i="2"/>
  <c r="AX20" i="2"/>
  <c r="AU25" i="3"/>
  <c r="AU33" i="3"/>
  <c r="AU56" i="9" s="1"/>
  <c r="AU52" i="9"/>
  <c r="AT14" i="3"/>
  <c r="AT34" i="4"/>
  <c r="AT35" i="4"/>
  <c r="AT18" i="5" s="1"/>
  <c r="AM18" i="7"/>
  <c r="AN18" i="7" s="1"/>
  <c r="AO18" i="7" s="1"/>
  <c r="AP18" i="7" s="1"/>
  <c r="AX8" i="5"/>
  <c r="AW9" i="5"/>
  <c r="W13" i="5"/>
  <c r="W14" i="5" s="1"/>
  <c r="W15" i="5" s="1"/>
  <c r="W28" i="5" s="1"/>
  <c r="W54" i="9"/>
  <c r="W55" i="9"/>
  <c r="X25" i="5"/>
  <c r="X27" i="5" s="1"/>
  <c r="X10" i="4"/>
  <c r="Y29" i="3"/>
  <c r="Y30" i="3" s="1"/>
  <c r="Y24" i="5" s="1"/>
  <c r="Z19" i="4"/>
  <c r="Z27" i="3"/>
  <c r="AA26" i="4"/>
  <c r="Z19" i="5"/>
  <c r="Z20" i="5" s="1"/>
  <c r="AS7" i="7"/>
  <c r="AS8" i="7" s="1"/>
  <c r="AS12" i="7" s="1"/>
  <c r="AS17" i="7" s="1"/>
  <c r="AW7" i="3"/>
  <c r="AW24" i="2"/>
  <c r="C18" i="2"/>
  <c r="AY20" i="2"/>
  <c r="C17" i="3" l="1"/>
  <c r="AY21" i="3"/>
  <c r="C21" i="3" s="1"/>
  <c r="C30" i="2"/>
  <c r="B11" i="8"/>
  <c r="B13" i="8" s="1"/>
  <c r="B14" i="8" s="1"/>
  <c r="AQ8" i="7"/>
  <c r="AV12" i="3"/>
  <c r="AV11" i="5"/>
  <c r="C20" i="2"/>
  <c r="AX24" i="2"/>
  <c r="AX7" i="3"/>
  <c r="AU7" i="7"/>
  <c r="AU8" i="7" s="1"/>
  <c r="AT34" i="3"/>
  <c r="AT23" i="3"/>
  <c r="AT36" i="4"/>
  <c r="AT12" i="5"/>
  <c r="AY8" i="5"/>
  <c r="AX9" i="5"/>
  <c r="Y25" i="5"/>
  <c r="Y27" i="5" s="1"/>
  <c r="X22" i="4"/>
  <c r="Y35" i="3"/>
  <c r="Y57" i="9" s="1"/>
  <c r="Y7" i="4"/>
  <c r="Y53" i="9"/>
  <c r="Z20" i="4"/>
  <c r="Z28" i="3"/>
  <c r="AA29" i="4"/>
  <c r="AA30" i="4" s="1"/>
  <c r="AA28" i="4"/>
  <c r="AW14" i="3"/>
  <c r="AW51" i="9"/>
  <c r="AW33" i="4"/>
  <c r="AY7" i="3"/>
  <c r="AY24" i="2"/>
  <c r="AY10" i="3" s="1"/>
  <c r="AY12" i="3" s="1"/>
  <c r="AW10" i="3"/>
  <c r="AW12" i="3" s="1"/>
  <c r="AQ12" i="7" l="1"/>
  <c r="C12" i="3"/>
  <c r="AV14" i="3"/>
  <c r="AV34" i="4"/>
  <c r="AV35" i="4"/>
  <c r="AV18" i="5" s="1"/>
  <c r="C7" i="3"/>
  <c r="AX33" i="4"/>
  <c r="AX51" i="9"/>
  <c r="AX14" i="3"/>
  <c r="AT25" i="3"/>
  <c r="AT33" i="3"/>
  <c r="AT56" i="9" s="1"/>
  <c r="AT52" i="9"/>
  <c r="AU37" i="4"/>
  <c r="AT37" i="4"/>
  <c r="AY9" i="5"/>
  <c r="C8" i="5"/>
  <c r="X23" i="4"/>
  <c r="X55" i="9"/>
  <c r="Y10" i="4"/>
  <c r="Z29" i="3"/>
  <c r="Z30" i="3" s="1"/>
  <c r="AA19" i="4"/>
  <c r="AA27" i="3"/>
  <c r="AB26" i="4"/>
  <c r="AA19" i="5"/>
  <c r="AA20" i="5" s="1"/>
  <c r="AW23" i="3"/>
  <c r="AW34" i="3"/>
  <c r="AW11" i="5"/>
  <c r="AY33" i="4"/>
  <c r="AY51" i="9"/>
  <c r="AY14" i="3"/>
  <c r="AY34" i="4"/>
  <c r="AY35" i="4"/>
  <c r="AW35" i="4"/>
  <c r="AW18" i="5" s="1"/>
  <c r="AW34" i="4"/>
  <c r="AX10" i="3"/>
  <c r="C24" i="2"/>
  <c r="AQ17" i="7" l="1"/>
  <c r="C14" i="3"/>
  <c r="AV34" i="3"/>
  <c r="AV23" i="3"/>
  <c r="AV36" i="4"/>
  <c r="AV37" i="4" s="1"/>
  <c r="AV12" i="5"/>
  <c r="AX11" i="5"/>
  <c r="AX23" i="3"/>
  <c r="AX34" i="3"/>
  <c r="AT7" i="7"/>
  <c r="AU9" i="4"/>
  <c r="AU10" i="7"/>
  <c r="AU12" i="7" s="1"/>
  <c r="AU17" i="7" s="1"/>
  <c r="AT10" i="7"/>
  <c r="AT9" i="4"/>
  <c r="C9" i="5"/>
  <c r="X54" i="9"/>
  <c r="X13" i="5"/>
  <c r="X14" i="5" s="1"/>
  <c r="X15" i="5" s="1"/>
  <c r="X28" i="5" s="1"/>
  <c r="Y22" i="4"/>
  <c r="Y23" i="4" s="1"/>
  <c r="Z24" i="5"/>
  <c r="Z35" i="3"/>
  <c r="Z57" i="9" s="1"/>
  <c r="Z7" i="4"/>
  <c r="Z53" i="9"/>
  <c r="AA20" i="4"/>
  <c r="AA28" i="3"/>
  <c r="AB29" i="4"/>
  <c r="AB28" i="4"/>
  <c r="AB30" i="4"/>
  <c r="AW25" i="3"/>
  <c r="AW33" i="3"/>
  <c r="AW56" i="9" s="1"/>
  <c r="AW52" i="9"/>
  <c r="AY36" i="4"/>
  <c r="AY11" i="5"/>
  <c r="C33" i="4"/>
  <c r="AY23" i="3"/>
  <c r="AY34" i="3"/>
  <c r="AY12" i="5"/>
  <c r="C12" i="5" s="1"/>
  <c r="C34" i="4"/>
  <c r="AY18" i="5"/>
  <c r="C35" i="4"/>
  <c r="C10" i="3"/>
  <c r="AX12" i="3"/>
  <c r="AW12" i="5"/>
  <c r="AW36" i="4"/>
  <c r="AQ18" i="7" l="1"/>
  <c r="AR18" i="7" s="1"/>
  <c r="AS18" i="7" s="1"/>
  <c r="B21" i="8"/>
  <c r="C34" i="3"/>
  <c r="C23" i="3"/>
  <c r="AV25" i="3"/>
  <c r="AV33" i="3"/>
  <c r="AV56" i="9" s="1"/>
  <c r="AV52" i="9"/>
  <c r="AV9" i="4"/>
  <c r="AV10" i="7"/>
  <c r="AX25" i="3"/>
  <c r="AX33" i="3"/>
  <c r="AX56" i="9" s="1"/>
  <c r="AX52" i="9"/>
  <c r="AT8" i="7"/>
  <c r="Y13" i="5"/>
  <c r="Y14" i="5" s="1"/>
  <c r="Y15" i="5" s="1"/>
  <c r="Y28" i="5" s="1"/>
  <c r="Y54" i="9"/>
  <c r="Y55" i="9"/>
  <c r="AA24" i="5"/>
  <c r="Z25" i="5"/>
  <c r="Z27" i="5" s="1"/>
  <c r="Z10" i="4"/>
  <c r="AA29" i="3"/>
  <c r="AA30" i="3"/>
  <c r="AB19" i="4"/>
  <c r="AB27" i="3"/>
  <c r="AC26" i="4"/>
  <c r="AB19" i="5"/>
  <c r="AB20" i="5" s="1"/>
  <c r="AW7" i="7"/>
  <c r="AW8" i="7" s="1"/>
  <c r="C37" i="4"/>
  <c r="C36" i="4"/>
  <c r="C11" i="5"/>
  <c r="AY25" i="3"/>
  <c r="AY33" i="3"/>
  <c r="AY56" i="9" s="1"/>
  <c r="AY52" i="9"/>
  <c r="C18" i="5"/>
  <c r="AX35" i="4"/>
  <c r="AX18" i="5" s="1"/>
  <c r="AX34" i="4"/>
  <c r="AW37" i="4"/>
  <c r="C31" i="8" l="1"/>
  <c r="B20" i="8"/>
  <c r="C33" i="3"/>
  <c r="C25" i="3"/>
  <c r="AV7" i="7"/>
  <c r="AX7" i="7"/>
  <c r="AX8" i="7" s="1"/>
  <c r="AT12" i="7"/>
  <c r="AA25" i="5"/>
  <c r="AA27" i="5" s="1"/>
  <c r="Z22" i="4"/>
  <c r="AA35" i="3"/>
  <c r="AA57" i="9" s="1"/>
  <c r="AA7" i="4"/>
  <c r="AA53" i="9"/>
  <c r="AB20" i="4"/>
  <c r="AB28" i="3"/>
  <c r="AC29" i="4"/>
  <c r="AC28" i="4"/>
  <c r="AC30" i="4"/>
  <c r="AY7" i="7"/>
  <c r="AY8" i="7" s="1"/>
  <c r="AX36" i="4"/>
  <c r="AX12" i="5"/>
  <c r="AW9" i="4"/>
  <c r="AW10" i="7"/>
  <c r="C7" i="7" l="1"/>
  <c r="AV8" i="7"/>
  <c r="AT17" i="7"/>
  <c r="Z23" i="4"/>
  <c r="Z55" i="9"/>
  <c r="AA10" i="4"/>
  <c r="AB29" i="3"/>
  <c r="AB30" i="3"/>
  <c r="AC19" i="4"/>
  <c r="AC27" i="3"/>
  <c r="AD26" i="4"/>
  <c r="AC19" i="5"/>
  <c r="AC20" i="5" s="1"/>
  <c r="AY37" i="4"/>
  <c r="AX37" i="4"/>
  <c r="AW12" i="7"/>
  <c r="AW17" i="7" s="1"/>
  <c r="C8" i="7" l="1"/>
  <c r="AV12" i="7"/>
  <c r="AT18" i="7"/>
  <c r="AU18" i="7" s="1"/>
  <c r="Z54" i="9"/>
  <c r="AA23" i="4"/>
  <c r="Z13" i="5"/>
  <c r="Z14" i="5" s="1"/>
  <c r="Z15" i="5" s="1"/>
  <c r="Z28" i="5" s="1"/>
  <c r="AA22" i="4"/>
  <c r="AB24" i="5"/>
  <c r="AB35" i="3"/>
  <c r="AB57" i="9" s="1"/>
  <c r="AB7" i="4"/>
  <c r="AB53" i="9"/>
  <c r="AC20" i="4"/>
  <c r="AC28" i="3"/>
  <c r="AD29" i="4"/>
  <c r="AD30" i="4" s="1"/>
  <c r="AD28" i="4"/>
  <c r="AY9" i="4"/>
  <c r="AY10" i="7"/>
  <c r="AY12" i="7" s="1"/>
  <c r="AX10" i="7"/>
  <c r="AX9" i="4"/>
  <c r="C12" i="7" l="1"/>
  <c r="AV17" i="7"/>
  <c r="AA13" i="5"/>
  <c r="AA14" i="5" s="1"/>
  <c r="AA15" i="5" s="1"/>
  <c r="AA28" i="5" s="1"/>
  <c r="AA54" i="9"/>
  <c r="AA55" i="9"/>
  <c r="AB25" i="5"/>
  <c r="AB27" i="5" s="1"/>
  <c r="AB10" i="4"/>
  <c r="AC29" i="3"/>
  <c r="AC30" i="3" s="1"/>
  <c r="AC24" i="5" s="1"/>
  <c r="AD19" i="4"/>
  <c r="AD27" i="3"/>
  <c r="AE26" i="4"/>
  <c r="AD19" i="5"/>
  <c r="AD20" i="5" s="1"/>
  <c r="C22" i="7"/>
  <c r="C23" i="7" s="1"/>
  <c r="AY17" i="7"/>
  <c r="C28" i="7"/>
  <c r="C29" i="7" s="1"/>
  <c r="C10" i="7"/>
  <c r="AX12" i="7"/>
  <c r="AX17" i="7" s="1"/>
  <c r="C9" i="4"/>
  <c r="AV18" i="7" l="1"/>
  <c r="AW18" i="7" s="1"/>
  <c r="AX18" i="7" s="1"/>
  <c r="AY18" i="7" s="1"/>
  <c r="C17" i="7"/>
  <c r="AC25" i="5"/>
  <c r="AC27" i="5" s="1"/>
  <c r="AB22" i="4"/>
  <c r="AC35" i="3"/>
  <c r="AC57" i="9" s="1"/>
  <c r="AC7" i="4"/>
  <c r="AC53" i="9"/>
  <c r="AD20" i="4"/>
  <c r="AD28" i="3"/>
  <c r="AE29" i="4"/>
  <c r="AE28" i="4"/>
  <c r="AE30" i="4"/>
  <c r="B5" i="8"/>
  <c r="G4" i="9"/>
  <c r="C18" i="7" l="1"/>
  <c r="C24" i="7"/>
  <c r="AB23" i="4"/>
  <c r="AB55" i="9"/>
  <c r="AC10" i="4"/>
  <c r="AD29" i="3"/>
  <c r="AD30" i="3" s="1"/>
  <c r="AE19" i="4"/>
  <c r="AE27" i="3"/>
  <c r="AF26" i="4"/>
  <c r="AE19" i="5"/>
  <c r="AE20" i="5" s="1"/>
  <c r="C25" i="7" l="1"/>
  <c r="C30" i="7"/>
  <c r="B4" i="8"/>
  <c r="B4" i="9"/>
  <c r="AB54" i="9"/>
  <c r="AB13" i="5"/>
  <c r="AB14" i="5" s="1"/>
  <c r="AB15" i="5" s="1"/>
  <c r="AB28" i="5" s="1"/>
  <c r="AC22" i="4"/>
  <c r="AC23" i="4" s="1"/>
  <c r="AD24" i="5"/>
  <c r="AD35" i="3"/>
  <c r="AD57" i="9" s="1"/>
  <c r="AD7" i="4"/>
  <c r="AD53" i="9"/>
  <c r="AE20" i="4"/>
  <c r="AE28" i="3"/>
  <c r="AF29" i="4"/>
  <c r="AF28" i="4"/>
  <c r="AF30" i="4"/>
  <c r="B6" i="8" l="1"/>
  <c r="M4" i="9"/>
  <c r="AC54" i="9"/>
  <c r="AC13" i="5"/>
  <c r="AC14" i="5" s="1"/>
  <c r="AC15" i="5" s="1"/>
  <c r="AC28" i="5" s="1"/>
  <c r="AC55" i="9"/>
  <c r="AD25" i="5"/>
  <c r="AD27" i="5" s="1"/>
  <c r="AD10" i="4"/>
  <c r="AE29" i="3"/>
  <c r="AE30" i="3" s="1"/>
  <c r="AE24" i="5" s="1"/>
  <c r="AF19" i="4"/>
  <c r="AF27" i="3"/>
  <c r="AG26" i="4"/>
  <c r="AF19" i="5"/>
  <c r="AF20" i="5" s="1"/>
  <c r="AE25" i="5" l="1"/>
  <c r="AE27" i="5" s="1"/>
  <c r="AD22" i="4"/>
  <c r="AE35" i="3"/>
  <c r="AE57" i="9" s="1"/>
  <c r="AE7" i="4"/>
  <c r="AE53" i="9"/>
  <c r="AF20" i="4"/>
  <c r="AF28" i="3"/>
  <c r="AG29" i="4"/>
  <c r="AG28" i="4"/>
  <c r="AG30" i="4"/>
  <c r="AD23" i="4" l="1"/>
  <c r="AD55" i="9"/>
  <c r="AE10" i="4"/>
  <c r="AF29" i="3"/>
  <c r="AF30" i="3" s="1"/>
  <c r="AG19" i="4"/>
  <c r="AG27" i="3"/>
  <c r="AH26" i="4"/>
  <c r="AG19" i="5"/>
  <c r="AG20" i="5" s="1"/>
  <c r="AE23" i="4" l="1"/>
  <c r="AD54" i="9"/>
  <c r="AD13" i="5"/>
  <c r="AD14" i="5" s="1"/>
  <c r="AD15" i="5" s="1"/>
  <c r="AD28" i="5" s="1"/>
  <c r="AE22" i="4"/>
  <c r="AF24" i="5"/>
  <c r="AF35" i="3"/>
  <c r="AF57" i="9" s="1"/>
  <c r="AF7" i="4"/>
  <c r="AF53" i="9"/>
  <c r="AG20" i="4"/>
  <c r="AG28" i="3"/>
  <c r="AH29" i="4"/>
  <c r="AH30" i="4" s="1"/>
  <c r="AH28" i="4"/>
  <c r="AE13" i="5" l="1"/>
  <c r="AE14" i="5" s="1"/>
  <c r="AE15" i="5" s="1"/>
  <c r="AE28" i="5" s="1"/>
  <c r="AE54" i="9"/>
  <c r="AE55" i="9"/>
  <c r="AF25" i="5"/>
  <c r="AF27" i="5" s="1"/>
  <c r="AF10" i="4"/>
  <c r="AG29" i="3"/>
  <c r="AG30" i="3"/>
  <c r="AG24" i="5" s="1"/>
  <c r="AH19" i="4"/>
  <c r="AH27" i="3"/>
  <c r="AH19" i="5"/>
  <c r="AH20" i="5" s="1"/>
  <c r="AI26" i="4"/>
  <c r="AG25" i="5" l="1"/>
  <c r="AG27" i="5" s="1"/>
  <c r="AF22" i="4"/>
  <c r="AG35" i="3"/>
  <c r="AG57" i="9" s="1"/>
  <c r="AG7" i="4"/>
  <c r="AG53" i="9"/>
  <c r="AH20" i="4"/>
  <c r="AH28" i="3"/>
  <c r="AI29" i="4"/>
  <c r="AI30" i="4" s="1"/>
  <c r="AI28" i="4"/>
  <c r="AF23" i="4" l="1"/>
  <c r="AF55" i="9"/>
  <c r="AG10" i="4"/>
  <c r="AH29" i="3"/>
  <c r="AH30" i="3" s="1"/>
  <c r="AI19" i="4"/>
  <c r="AI27" i="3"/>
  <c r="AI19" i="5"/>
  <c r="AI20" i="5" s="1"/>
  <c r="AJ26" i="4"/>
  <c r="AG23" i="4" l="1"/>
  <c r="AF54" i="9"/>
  <c r="AF13" i="5"/>
  <c r="AF14" i="5" s="1"/>
  <c r="AF15" i="5" s="1"/>
  <c r="AF28" i="5" s="1"/>
  <c r="AG22" i="4"/>
  <c r="AH24" i="5"/>
  <c r="AH35" i="3"/>
  <c r="AH57" i="9" s="1"/>
  <c r="AH7" i="4"/>
  <c r="AH53" i="9"/>
  <c r="AI20" i="4"/>
  <c r="AI28" i="3"/>
  <c r="AJ29" i="4"/>
  <c r="AJ30" i="4" s="1"/>
  <c r="AJ28" i="4"/>
  <c r="AG13" i="5" l="1"/>
  <c r="AG14" i="5" s="1"/>
  <c r="AG15" i="5" s="1"/>
  <c r="AG28" i="5" s="1"/>
  <c r="AG54" i="9"/>
  <c r="AG55" i="9"/>
  <c r="AH25" i="5"/>
  <c r="AH27" i="5" s="1"/>
  <c r="AH10" i="4"/>
  <c r="AI29" i="3"/>
  <c r="AI30" i="3"/>
  <c r="AI24" i="5" s="1"/>
  <c r="AJ19" i="4"/>
  <c r="AJ27" i="3"/>
  <c r="AJ19" i="5"/>
  <c r="AJ20" i="5" s="1"/>
  <c r="AK26" i="4"/>
  <c r="AI25" i="5" l="1"/>
  <c r="AI27" i="5" s="1"/>
  <c r="AH22" i="4"/>
  <c r="AI35" i="3"/>
  <c r="AI57" i="9" s="1"/>
  <c r="AI7" i="4"/>
  <c r="AI53" i="9"/>
  <c r="AJ20" i="4"/>
  <c r="AJ28" i="3"/>
  <c r="AK29" i="4"/>
  <c r="AK30" i="4" s="1"/>
  <c r="AK28" i="4"/>
  <c r="AH23" i="4" l="1"/>
  <c r="AH55" i="9"/>
  <c r="AI10" i="4"/>
  <c r="AJ29" i="3"/>
  <c r="AJ30" i="3" s="1"/>
  <c r="AK19" i="4"/>
  <c r="AK27" i="3"/>
  <c r="AK19" i="5"/>
  <c r="AK20" i="5" s="1"/>
  <c r="AL26" i="4"/>
  <c r="AH54" i="9" l="1"/>
  <c r="AI23" i="4"/>
  <c r="AH13" i="5"/>
  <c r="AH14" i="5" s="1"/>
  <c r="AH15" i="5" s="1"/>
  <c r="AH28" i="5" s="1"/>
  <c r="AI22" i="4"/>
  <c r="AJ24" i="5"/>
  <c r="AJ35" i="3"/>
  <c r="AJ57" i="9" s="1"/>
  <c r="AJ7" i="4"/>
  <c r="AJ53" i="9"/>
  <c r="AK20" i="4"/>
  <c r="AK28" i="3"/>
  <c r="AL29" i="4"/>
  <c r="AL30" i="4" s="1"/>
  <c r="AL28" i="4"/>
  <c r="AI13" i="5" l="1"/>
  <c r="AI14" i="5" s="1"/>
  <c r="AI15" i="5" s="1"/>
  <c r="AI28" i="5" s="1"/>
  <c r="AI54" i="9"/>
  <c r="AI55" i="9"/>
  <c r="AJ25" i="5"/>
  <c r="AJ27" i="5" s="1"/>
  <c r="AJ10" i="4"/>
  <c r="AK29" i="3"/>
  <c r="AK30" i="3" s="1"/>
  <c r="AK24" i="5" s="1"/>
  <c r="AL19" i="4"/>
  <c r="AL27" i="3"/>
  <c r="AL19" i="5"/>
  <c r="AL20" i="5" s="1"/>
  <c r="AM26" i="4"/>
  <c r="AK25" i="5" l="1"/>
  <c r="AK27" i="5" s="1"/>
  <c r="AJ22" i="4"/>
  <c r="AK35" i="3"/>
  <c r="AK57" i="9" s="1"/>
  <c r="AK7" i="4"/>
  <c r="AK53" i="9"/>
  <c r="AL20" i="4"/>
  <c r="AL28" i="3"/>
  <c r="AM29" i="4"/>
  <c r="AM30" i="4" s="1"/>
  <c r="AM28" i="4"/>
  <c r="AJ23" i="4" l="1"/>
  <c r="AJ55" i="9"/>
  <c r="AK10" i="4"/>
  <c r="AL29" i="3"/>
  <c r="AL30" i="3"/>
  <c r="AM19" i="4"/>
  <c r="AM27" i="3"/>
  <c r="AM19" i="5"/>
  <c r="AM20" i="5" s="1"/>
  <c r="AN26" i="4"/>
  <c r="AJ54" i="9" l="1"/>
  <c r="AJ13" i="5"/>
  <c r="AJ14" i="5" s="1"/>
  <c r="AJ15" i="5" s="1"/>
  <c r="AJ28" i="5" s="1"/>
  <c r="AK22" i="4"/>
  <c r="AK23" i="4" s="1"/>
  <c r="AL24" i="5"/>
  <c r="AL35" i="3"/>
  <c r="AL57" i="9" s="1"/>
  <c r="AL7" i="4"/>
  <c r="AL53" i="9"/>
  <c r="AM20" i="4"/>
  <c r="AM28" i="3"/>
  <c r="AN29" i="4"/>
  <c r="AN28" i="4"/>
  <c r="AN30" i="4"/>
  <c r="AK13" i="5" l="1"/>
  <c r="AK14" i="5" s="1"/>
  <c r="AK15" i="5" s="1"/>
  <c r="AK28" i="5" s="1"/>
  <c r="AK54" i="9"/>
  <c r="AK55" i="9"/>
  <c r="AL25" i="5"/>
  <c r="AL27" i="5" s="1"/>
  <c r="AL10" i="4"/>
  <c r="AM29" i="3"/>
  <c r="AM30" i="3"/>
  <c r="AM24" i="5" s="1"/>
  <c r="AN19" i="4"/>
  <c r="AN27" i="3"/>
  <c r="AN19" i="5"/>
  <c r="AN20" i="5" s="1"/>
  <c r="AO26" i="4"/>
  <c r="AM25" i="5" l="1"/>
  <c r="AM27" i="5" s="1"/>
  <c r="AL22" i="4"/>
  <c r="AM35" i="3"/>
  <c r="AM57" i="9" s="1"/>
  <c r="AM7" i="4"/>
  <c r="AM53" i="9"/>
  <c r="AN20" i="4"/>
  <c r="AN28" i="3"/>
  <c r="AO29" i="4"/>
  <c r="AO30" i="4" s="1"/>
  <c r="AO28" i="4"/>
  <c r="AL23" i="4" l="1"/>
  <c r="AL55" i="9"/>
  <c r="AM10" i="4"/>
  <c r="AN29" i="3"/>
  <c r="AN30" i="3" s="1"/>
  <c r="AO19" i="4"/>
  <c r="AO27" i="3"/>
  <c r="AO19" i="5"/>
  <c r="AO20" i="5" s="1"/>
  <c r="AP26" i="4"/>
  <c r="AL54" i="9" l="1"/>
  <c r="AL13" i="5"/>
  <c r="AL14" i="5" s="1"/>
  <c r="AL15" i="5" s="1"/>
  <c r="AL28" i="5" s="1"/>
  <c r="AM22" i="4"/>
  <c r="AM23" i="4" s="1"/>
  <c r="AN24" i="5"/>
  <c r="AN35" i="3"/>
  <c r="AN57" i="9" s="1"/>
  <c r="AN7" i="4"/>
  <c r="AN53" i="9"/>
  <c r="AO20" i="4"/>
  <c r="AO28" i="3"/>
  <c r="AP29" i="4"/>
  <c r="AP28" i="4"/>
  <c r="AP30" i="4"/>
  <c r="AM13" i="5" l="1"/>
  <c r="AM14" i="5" s="1"/>
  <c r="AM15" i="5" s="1"/>
  <c r="AM28" i="5" s="1"/>
  <c r="AM54" i="9"/>
  <c r="AM55" i="9"/>
  <c r="AO24" i="5"/>
  <c r="AN25" i="5"/>
  <c r="AN27" i="5" s="1"/>
  <c r="AN10" i="4"/>
  <c r="AO29" i="3"/>
  <c r="AO30" i="3"/>
  <c r="AP19" i="4"/>
  <c r="AP27" i="3"/>
  <c r="AP19" i="5"/>
  <c r="AP20" i="5" s="1"/>
  <c r="AQ26" i="4"/>
  <c r="AO25" i="5" l="1"/>
  <c r="AO27" i="5" s="1"/>
  <c r="AN22" i="4"/>
  <c r="AO35" i="3"/>
  <c r="AO57" i="9" s="1"/>
  <c r="AO7" i="4"/>
  <c r="AO53" i="9"/>
  <c r="AP20" i="4"/>
  <c r="AP28" i="3"/>
  <c r="AQ29" i="4"/>
  <c r="AQ30" i="4" s="1"/>
  <c r="AQ28" i="4"/>
  <c r="AN23" i="4" l="1"/>
  <c r="AN55" i="9"/>
  <c r="AO10" i="4"/>
  <c r="AP29" i="3"/>
  <c r="AP30" i="3" s="1"/>
  <c r="AQ19" i="4"/>
  <c r="AQ27" i="3"/>
  <c r="AQ19" i="5"/>
  <c r="AQ20" i="5" s="1"/>
  <c r="AR26" i="4"/>
  <c r="AN54" i="9" l="1"/>
  <c r="AN13" i="5"/>
  <c r="AN14" i="5" s="1"/>
  <c r="AN15" i="5" s="1"/>
  <c r="AN28" i="5" s="1"/>
  <c r="AO22" i="4"/>
  <c r="AO23" i="4" s="1"/>
  <c r="AP24" i="5"/>
  <c r="AP35" i="3"/>
  <c r="AP57" i="9" s="1"/>
  <c r="AP7" i="4"/>
  <c r="AP53" i="9"/>
  <c r="AQ20" i="4"/>
  <c r="AQ28" i="3"/>
  <c r="AR29" i="4"/>
  <c r="AR30" i="4" s="1"/>
  <c r="AR28" i="4"/>
  <c r="AO13" i="5" l="1"/>
  <c r="AO14" i="5" s="1"/>
  <c r="AO15" i="5" s="1"/>
  <c r="AO28" i="5" s="1"/>
  <c r="AO54" i="9"/>
  <c r="AO55" i="9"/>
  <c r="AP25" i="5"/>
  <c r="AP27" i="5" s="1"/>
  <c r="AP10" i="4"/>
  <c r="AQ29" i="3"/>
  <c r="AQ30" i="3"/>
  <c r="AQ24" i="5" s="1"/>
  <c r="AR19" i="4"/>
  <c r="AR27" i="3"/>
  <c r="AR19" i="5"/>
  <c r="AR20" i="5" s="1"/>
  <c r="AS26" i="4"/>
  <c r="AQ25" i="5" l="1"/>
  <c r="AQ27" i="5" s="1"/>
  <c r="AP22" i="4"/>
  <c r="AQ35" i="3"/>
  <c r="AQ57" i="9" s="1"/>
  <c r="AQ7" i="4"/>
  <c r="AQ53" i="9"/>
  <c r="AR20" i="4"/>
  <c r="AR28" i="3"/>
  <c r="AS29" i="4"/>
  <c r="AS30" i="4" s="1"/>
  <c r="AS28" i="4"/>
  <c r="AP23" i="4" l="1"/>
  <c r="AP55" i="9"/>
  <c r="AQ10" i="4"/>
  <c r="AR29" i="3"/>
  <c r="AR30" i="3" s="1"/>
  <c r="AS19" i="4"/>
  <c r="AS27" i="3"/>
  <c r="AS19" i="5"/>
  <c r="AS20" i="5" s="1"/>
  <c r="AT26" i="4"/>
  <c r="AQ23" i="4" l="1"/>
  <c r="AP54" i="9"/>
  <c r="AP13" i="5"/>
  <c r="AP14" i="5" s="1"/>
  <c r="AP15" i="5" s="1"/>
  <c r="AP28" i="5" s="1"/>
  <c r="AQ22" i="4"/>
  <c r="AR24" i="5"/>
  <c r="AR35" i="3"/>
  <c r="AR57" i="9" s="1"/>
  <c r="AR7" i="4"/>
  <c r="AR53" i="9"/>
  <c r="AS20" i="4"/>
  <c r="AS28" i="3"/>
  <c r="AT29" i="4"/>
  <c r="AT28" i="4"/>
  <c r="AT30" i="4"/>
  <c r="AQ13" i="5" l="1"/>
  <c r="AQ14" i="5" s="1"/>
  <c r="AQ15" i="5" s="1"/>
  <c r="AQ28" i="5" s="1"/>
  <c r="AQ54" i="9"/>
  <c r="AQ55" i="9"/>
  <c r="AR25" i="5"/>
  <c r="AR27" i="5" s="1"/>
  <c r="AR10" i="4"/>
  <c r="AS29" i="3"/>
  <c r="AS30" i="3" s="1"/>
  <c r="AS24" i="5" s="1"/>
  <c r="AT19" i="4"/>
  <c r="AT27" i="3"/>
  <c r="AT19" i="5"/>
  <c r="AT20" i="5" s="1"/>
  <c r="AU26" i="4"/>
  <c r="AS25" i="5" l="1"/>
  <c r="AS27" i="5" s="1"/>
  <c r="AR22" i="4"/>
  <c r="AS35" i="3"/>
  <c r="AS57" i="9" s="1"/>
  <c r="AS7" i="4"/>
  <c r="AS53" i="9"/>
  <c r="AT20" i="4"/>
  <c r="AT28" i="3"/>
  <c r="AU29" i="4"/>
  <c r="AU30" i="4" s="1"/>
  <c r="AU28" i="4"/>
  <c r="AR23" i="4" l="1"/>
  <c r="AR55" i="9"/>
  <c r="AS10" i="4"/>
  <c r="AT29" i="3"/>
  <c r="AT30" i="3" s="1"/>
  <c r="AU19" i="4"/>
  <c r="AU27" i="3"/>
  <c r="AU19" i="5"/>
  <c r="AU20" i="5" s="1"/>
  <c r="AV26" i="4"/>
  <c r="AS23" i="4" l="1"/>
  <c r="AR54" i="9"/>
  <c r="AR13" i="5"/>
  <c r="AR14" i="5" s="1"/>
  <c r="AR15" i="5" s="1"/>
  <c r="AR28" i="5" s="1"/>
  <c r="AS22" i="4"/>
  <c r="AT24" i="5"/>
  <c r="AT35" i="3"/>
  <c r="AT57" i="9" s="1"/>
  <c r="AT7" i="4"/>
  <c r="AT53" i="9"/>
  <c r="AU20" i="4"/>
  <c r="AU28" i="3"/>
  <c r="AV29" i="4"/>
  <c r="AV30" i="4" s="1"/>
  <c r="AV28" i="4"/>
  <c r="AS13" i="5" l="1"/>
  <c r="AS14" i="5" s="1"/>
  <c r="AS15" i="5" s="1"/>
  <c r="AS28" i="5" s="1"/>
  <c r="AS54" i="9"/>
  <c r="AS55" i="9"/>
  <c r="AT25" i="5"/>
  <c r="AT27" i="5" s="1"/>
  <c r="AT10" i="4"/>
  <c r="AU29" i="3"/>
  <c r="AU30" i="3" s="1"/>
  <c r="AU24" i="5" s="1"/>
  <c r="AV19" i="4"/>
  <c r="AV27" i="3"/>
  <c r="AV19" i="5"/>
  <c r="AV20" i="5" s="1"/>
  <c r="AW26" i="4"/>
  <c r="AU25" i="5" l="1"/>
  <c r="AU27" i="5" s="1"/>
  <c r="AT22" i="4"/>
  <c r="AU35" i="3"/>
  <c r="AU57" i="9" s="1"/>
  <c r="AU7" i="4"/>
  <c r="AU53" i="9"/>
  <c r="AV20" i="4"/>
  <c r="AV28" i="3"/>
  <c r="AW29" i="4"/>
  <c r="AW30" i="4" s="1"/>
  <c r="AW28" i="4"/>
  <c r="AT23" i="4" l="1"/>
  <c r="AT55" i="9"/>
  <c r="AU10" i="4"/>
  <c r="AV29" i="3"/>
  <c r="AV30" i="3" s="1"/>
  <c r="AW19" i="4"/>
  <c r="AW27" i="3"/>
  <c r="AW19" i="5"/>
  <c r="AW20" i="5" s="1"/>
  <c r="AX26" i="4"/>
  <c r="AT54" i="9" l="1"/>
  <c r="AU23" i="4"/>
  <c r="AT13" i="5"/>
  <c r="AT14" i="5" s="1"/>
  <c r="AT15" i="5" s="1"/>
  <c r="AT28" i="5" s="1"/>
  <c r="AU22" i="4"/>
  <c r="AV24" i="5"/>
  <c r="AV35" i="3"/>
  <c r="AV57" i="9" s="1"/>
  <c r="AV7" i="4"/>
  <c r="AV53" i="9"/>
  <c r="AW20" i="4"/>
  <c r="AW28" i="3"/>
  <c r="AX29" i="4"/>
  <c r="AX30" i="4" s="1"/>
  <c r="AX28" i="4"/>
  <c r="AU13" i="5" l="1"/>
  <c r="AU14" i="5" s="1"/>
  <c r="AU15" i="5" s="1"/>
  <c r="AU28" i="5" s="1"/>
  <c r="AU54" i="9"/>
  <c r="AU55" i="9"/>
  <c r="AV25" i="5"/>
  <c r="AV27" i="5" s="1"/>
  <c r="AV10" i="4"/>
  <c r="AW29" i="3"/>
  <c r="AW30" i="3" s="1"/>
  <c r="AW24" i="5" s="1"/>
  <c r="AX19" i="4"/>
  <c r="AX27" i="3"/>
  <c r="AX19" i="5"/>
  <c r="AX20" i="5" s="1"/>
  <c r="AY26" i="4"/>
  <c r="AW25" i="5" l="1"/>
  <c r="AW27" i="5" s="1"/>
  <c r="AV22" i="4"/>
  <c r="AW35" i="3"/>
  <c r="AW57" i="9" s="1"/>
  <c r="AW7" i="4"/>
  <c r="AW53" i="9"/>
  <c r="AX20" i="4"/>
  <c r="AX28" i="3"/>
  <c r="AY29" i="4"/>
  <c r="AY30" i="4" s="1"/>
  <c r="AY19" i="5" s="1"/>
  <c r="AY28" i="4"/>
  <c r="AV23" i="4" l="1"/>
  <c r="AV55" i="9"/>
  <c r="AW10" i="4"/>
  <c r="AX29" i="3"/>
  <c r="AX30" i="3" s="1"/>
  <c r="C29" i="4"/>
  <c r="AY19" i="4"/>
  <c r="C28" i="4"/>
  <c r="AY27" i="3"/>
  <c r="AY20" i="5"/>
  <c r="C19" i="5"/>
  <c r="AV54" i="9" l="1"/>
  <c r="AV13" i="5"/>
  <c r="AV14" i="5" s="1"/>
  <c r="AV15" i="5" s="1"/>
  <c r="AV28" i="5" s="1"/>
  <c r="AW22" i="4"/>
  <c r="AW23" i="4" s="1"/>
  <c r="AX24" i="5"/>
  <c r="AX35" i="3"/>
  <c r="AX57" i="9" s="1"/>
  <c r="AX7" i="4"/>
  <c r="AX53" i="9"/>
  <c r="C19" i="4"/>
  <c r="AY20" i="4"/>
  <c r="C20" i="4" s="1"/>
  <c r="C27" i="3"/>
  <c r="B26" i="8"/>
  <c r="AY28" i="3"/>
  <c r="C20" i="5"/>
  <c r="AW13" i="5" l="1"/>
  <c r="AW14" i="5" s="1"/>
  <c r="AW15" i="5" s="1"/>
  <c r="AW28" i="5" s="1"/>
  <c r="AW54" i="9"/>
  <c r="AW55" i="9"/>
  <c r="AX25" i="5"/>
  <c r="AX27" i="5" s="1"/>
  <c r="AX10" i="4"/>
  <c r="C28" i="3"/>
  <c r="AY29" i="3"/>
  <c r="AX22" i="4" l="1"/>
  <c r="C29" i="3"/>
  <c r="AY30" i="3"/>
  <c r="AX23" i="4" l="1"/>
  <c r="AX55" i="9"/>
  <c r="AY53" i="9"/>
  <c r="AY7" i="4"/>
  <c r="AY35" i="3"/>
  <c r="AY57" i="9" s="1"/>
  <c r="C30" i="3"/>
  <c r="AY24" i="5"/>
  <c r="AX54" i="9" l="1"/>
  <c r="AX13" i="5"/>
  <c r="AX14" i="5" s="1"/>
  <c r="AX15" i="5" s="1"/>
  <c r="C7" i="4"/>
  <c r="AY10" i="4"/>
  <c r="C35" i="3"/>
  <c r="C30" i="8"/>
  <c r="B17" i="8"/>
  <c r="B19" i="8"/>
  <c r="C24" i="5"/>
  <c r="AY25" i="5"/>
  <c r="C10" i="4" l="1"/>
  <c r="AY22" i="4"/>
  <c r="AY27" i="5"/>
  <c r="C27" i="5" s="1"/>
  <c r="B25" i="8"/>
  <c r="C32" i="8"/>
  <c r="C25" i="5"/>
  <c r="AX28" i="5"/>
  <c r="AY23" i="4" l="1"/>
  <c r="C22" i="4"/>
  <c r="AY55" i="9"/>
  <c r="C23" i="4" l="1"/>
  <c r="AY54" i="9"/>
  <c r="AY13" i="5"/>
  <c r="B24" i="8"/>
  <c r="AY14" i="5" l="1"/>
  <c r="C13" i="5"/>
  <c r="C14" i="5" l="1"/>
  <c r="AY15" i="5"/>
  <c r="C29" i="8" l="1"/>
  <c r="B18" i="8"/>
  <c r="C15" i="5"/>
  <c r="AY28" i="5"/>
  <c r="C28" i="5" s="1"/>
</calcChain>
</file>

<file path=xl/sharedStrings.xml><?xml version="1.0" encoding="utf-8"?>
<sst xmlns="http://schemas.openxmlformats.org/spreadsheetml/2006/main" count="433" uniqueCount="288">
  <si>
    <t>ФИНАНСОВАЯ МОДЕЛЬ — ПРОИЗВОДСТВЕННОЕ ПРЕДПРИЯТИЕ — НАСТРОЙКИ</t>
  </si>
  <si>
    <t xml:space="preserve">  Ручной ввод (синий)  </t>
  </si>
  <si>
    <t xml:space="preserve">  Формула (чёрный)  </t>
  </si>
  <si>
    <t xml:space="preserve">  Ссылка на лист (зелёный)  </t>
  </si>
  <si>
    <t>1. ОБЩИЕ ПАРАМЕТРЫ ПРОЕКТА</t>
  </si>
  <si>
    <t>Название проекта</t>
  </si>
  <si>
    <t>Производственный проект [Название компании]</t>
  </si>
  <si>
    <t>Дата начала проекта (1-е число месяца)</t>
  </si>
  <si>
    <t>Первый месяц горизонта планирования</t>
  </si>
  <si>
    <t>Горизонт планирования, мес.</t>
  </si>
  <si>
    <t>Введено: 48 мес.</t>
  </si>
  <si>
    <t>Период инвестиций, мес.</t>
  </si>
  <si>
    <t>Число месяцев инвестиционной фазы</t>
  </si>
  <si>
    <t>2. МАКРОЭКОНОМИЧЕСКИЕ ПАРАМЕТРЫ</t>
  </si>
  <si>
    <t>Инфляция годовая, %</t>
  </si>
  <si>
    <t>Прогноз ЦБ РФ / МЭР</t>
  </si>
  <si>
    <t>Ставка налога на прибыль, %</t>
  </si>
  <si>
    <t>Ст. 284 НК РФ</t>
  </si>
  <si>
    <t>Ставка НДС, %</t>
  </si>
  <si>
    <t>НК РФ гл. 21</t>
  </si>
  <si>
    <t>3. ПАРАМЕТРЫ ФИНАНСИРОВАНИЯ</t>
  </si>
  <si>
    <t>Общий объём инвестиций, тыс. руб.</t>
  </si>
  <si>
    <t>Доля заёмного финансирования (Wd), %</t>
  </si>
  <si>
    <t>Доля кредитов в структуре финансирования</t>
  </si>
  <si>
    <t>Сумма кредита, тыс. руб.</t>
  </si>
  <si>
    <t>Форм.: Инвестиции × Wd</t>
  </si>
  <si>
    <t>Годовая ставка по кредиту, %</t>
  </si>
  <si>
    <t>Ключевая ставка ЦБ + премия за кредитный риск</t>
  </si>
  <si>
    <t>Срок кредита, мес.</t>
  </si>
  <si>
    <t>Льготный период (только %), мес.</t>
  </si>
  <si>
    <t>0 = без льготного периода</t>
  </si>
  <si>
    <t>4. ОСНОВНЫЕ СРЕДСТВА И АМОРТИЗАЦИЯ</t>
  </si>
  <si>
    <t>Балансовая стоимость ОС (конец инвест. фазы), тыс. руб.</t>
  </si>
  <si>
    <t>Оборудование, техника, НМА</t>
  </si>
  <si>
    <t>Норма амортизации (годовая), %</t>
  </si>
  <si>
    <t>Линейный метод: 10% = срок 10 лет</t>
  </si>
  <si>
    <t>Амортизация ежемесячная, тыс. руб.</t>
  </si>
  <si>
    <t>Форм.: Стоимость × норма / 12</t>
  </si>
  <si>
    <t>5. НОРМАТИВЫ ОБОРОТНОГО КАПИТАЛА</t>
  </si>
  <si>
    <t>Дебиторская задолженность (ДЗ), дней</t>
  </si>
  <si>
    <t>Среднее время оплаты клиентами</t>
  </si>
  <si>
    <t>Запасы (З), дней</t>
  </si>
  <si>
    <t>Норматив производственных запасов</t>
  </si>
  <si>
    <t>Кредиторская задолженность (КЗ), дней</t>
  </si>
  <si>
    <t>Среднее время оплаты поставщикам</t>
  </si>
  <si>
    <t>6. СТРУКТУРА ЗАТРАТ: ДОЛЯ ПЕРЕМЕННЫХ</t>
  </si>
  <si>
    <t>Доля переменных затрат в выручке, %</t>
  </si>
  <si>
    <t>Сырьё, материалы, прямые затраты</t>
  </si>
  <si>
    <t>7. СТАВКА ДИСКОНТИРОВАНИЯ (рассчитывается на листе WACC)</t>
  </si>
  <si>
    <t>WACC итоговое значение, %</t>
  </si>
  <si>
    <t>← рассчитывается автоматически на листе WACC</t>
  </si>
  <si>
    <t>8. РЫНОЧНЫЕ ПОКАЗАТЕЛИ ОТРАСЛИ (2024, источник: статистическая база)</t>
  </si>
  <si>
    <t>Рентабельность активов (ROA), %</t>
  </si>
  <si>
    <t>(рыночный бенчмарк)</t>
  </si>
  <si>
    <t>Рентабельность рынка (ROS), %</t>
  </si>
  <si>
    <t>Рентабельность капитала (ROE), %</t>
  </si>
  <si>
    <t>Коэффициент текущей ликвидности, %</t>
  </si>
  <si>
    <t>Коэффициент быстрой ликвидности, %</t>
  </si>
  <si>
    <t>Debt/Equity, %</t>
  </si>
  <si>
    <t>Debt/EBITDA, %</t>
  </si>
  <si>
    <t>Доля убыточных компаний, %</t>
  </si>
  <si>
    <t>Средняя доля себестоимости в выручке, %</t>
  </si>
  <si>
    <t>Средняя заработная плата, руб.</t>
  </si>
  <si>
    <t>Объём рынка, тыс. руб.</t>
  </si>
  <si>
    <t>Доля опер. прибыли на проценты, %</t>
  </si>
  <si>
    <t>Уровень налоговой нагрузки, %</t>
  </si>
  <si>
    <t>Доля инвестиционно-активных предприятий, %</t>
  </si>
  <si>
    <t>Средний срок оборачиваемости активов, дн.</t>
  </si>
  <si>
    <t>ДОПУЩЕНИЯ — ВВОД ИСХОДНЫХ ДАННЫХ (Производство)</t>
  </si>
  <si>
    <t>Синий = ручной ввод  |  Чёрный = формула  |  Зелёный = ссылка на другой лист</t>
  </si>
  <si>
    <t>Показатель</t>
  </si>
  <si>
    <t>Ед. изм.</t>
  </si>
  <si>
    <t>ИТОГО</t>
  </si>
  <si>
    <t>I. ВЫРУЧКА</t>
  </si>
  <si>
    <t>▶ Продукт 1 [Наименование]</t>
  </si>
  <si>
    <t xml:space="preserve">  Объём продаж, кг/мес.</t>
  </si>
  <si>
    <t>кг</t>
  </si>
  <si>
    <t xml:space="preserve">  Цена реализации, руб./кг</t>
  </si>
  <si>
    <t>руб./кг</t>
  </si>
  <si>
    <t>—</t>
  </si>
  <si>
    <t xml:space="preserve">  Выручка «Продукт 1 [Наименование]», тыс. руб.</t>
  </si>
  <si>
    <t>тыс. руб.</t>
  </si>
  <si>
    <t>▶ Продукт 2 [Наименование]</t>
  </si>
  <si>
    <t xml:space="preserve">  Выручка «Продукт 2 [Наименование]», тыс. руб.</t>
  </si>
  <si>
    <t>▶ Продукт 3 [Наименование]</t>
  </si>
  <si>
    <t xml:space="preserve">  Выручка «Продукт 3 [Наименование]», тыс. руб.</t>
  </si>
  <si>
    <t>ИТОГО ВЫРУЧКА, тыс. руб.</t>
  </si>
  <si>
    <t>II. СТРУКТУРА ЗАТРАТ</t>
  </si>
  <si>
    <t xml:space="preserve">  Доля переменных затрат (из НАСТРОЙКИ: ячейка B34)</t>
  </si>
  <si>
    <t xml:space="preserve">  [Переменные = сырьё, материалы, упаковка, прямые затраты на продукт]</t>
  </si>
  <si>
    <t xml:space="preserve">  Переменные затраты (сырьё, материалы), тыс. руб.</t>
  </si>
  <si>
    <t xml:space="preserve">  ФОТ производственный, тыс. руб.</t>
  </si>
  <si>
    <t xml:space="preserve">  ФОТ административный (АУП), тыс. руб.</t>
  </si>
  <si>
    <t xml:space="preserve">  Аренда, тыс. руб.</t>
  </si>
  <si>
    <t xml:space="preserve">  Маркетинг и реклама, тыс. руб.</t>
  </si>
  <si>
    <t xml:space="preserve">  Прочие операционные расходы, тыс. руб.</t>
  </si>
  <si>
    <t>ИТОГО постоянные затраты, тыс. руб.</t>
  </si>
  <si>
    <t>III. КАПИТАЛЬНЫЕ ВЛОЖЕНИЯ (CapEx)</t>
  </si>
  <si>
    <t xml:space="preserve">  [Введите помесячно. Инвест. фаза выделена оранжевым]</t>
  </si>
  <si>
    <t>Капитальные вложения, тыс. руб.</t>
  </si>
  <si>
    <t>ОТЧЁТ О ПРИБЫЛЯХ И УБЫТКАХ (P&amp;L) — Производство</t>
  </si>
  <si>
    <t>Выручка (нетто), тыс. руб.</t>
  </si>
  <si>
    <t>II. СЕБЕСТОИМОСТЬ (COGS)</t>
  </si>
  <si>
    <t xml:space="preserve">  ФОТ производственных рабочих, тыс. руб.</t>
  </si>
  <si>
    <t>ИТОГО Себестоимость, тыс. руб.</t>
  </si>
  <si>
    <t>ВАЛОВАЯ ПРИБЫЛЬ, тыс. руб.</t>
  </si>
  <si>
    <t>III. КОММЕРЧЕСКИЕ И УПРАВЛЕНЧЕСКИЕ РАСХОДЫ (SG&amp;A)</t>
  </si>
  <si>
    <t xml:space="preserve">  ФОТ АУП (административно-управленческий), тыс. руб.</t>
  </si>
  <si>
    <t>ИТОГО Коммерч. и управленч. расходы, тыс. руб.</t>
  </si>
  <si>
    <t>EBITDA, тыс. руб.</t>
  </si>
  <si>
    <t xml:space="preserve">  Амортизация, тыс. руб.</t>
  </si>
  <si>
    <t>EBIT (Прибыль от операций), тыс. руб.</t>
  </si>
  <si>
    <t xml:space="preserve">  Проценты к уплате, тыс. руб.</t>
  </si>
  <si>
    <t>Прибыль до налогов (EBT), тыс. руб.</t>
  </si>
  <si>
    <t xml:space="preserve">  Налог на прибыль, тыс. руб.</t>
  </si>
  <si>
    <t>ЧИСТАЯ ПРИБЫЛЬ, тыс. руб.</t>
  </si>
  <si>
    <t>IV. МАРЖИНАЛЬНЫЕ ПОКАЗАТЕЛИ</t>
  </si>
  <si>
    <t>EBITDA margin, %</t>
  </si>
  <si>
    <t>%</t>
  </si>
  <si>
    <t>Gross margin (Рентаб. по вал. прибыли), %</t>
  </si>
  <si>
    <t>Рентабельность по чистой прибыли (ROS), %</t>
  </si>
  <si>
    <t>ОТЧЁТ О ДВИЖЕНИИ ДЕНЕЖНЫХ СРЕДСТВ (ОДДС)</t>
  </si>
  <si>
    <t>I. ОПЕРАЦИОННАЯ ДЕЯТЕЛЬНОСТЬ</t>
  </si>
  <si>
    <t xml:space="preserve">  Чистая прибыль, тыс. руб.</t>
  </si>
  <si>
    <t xml:space="preserve">  Изменение оборотного капитала (ΔОБК), тыс. руб.</t>
  </si>
  <si>
    <t>ИТОГО Операционный ДП, тыс. руб.</t>
  </si>
  <si>
    <t>II. ИНВЕСТИЦИОННАЯ ДЕЯТЕЛЬНОСТЬ</t>
  </si>
  <si>
    <t xml:space="preserve">  Капитальные вложения (CapEx), тыс. руб.</t>
  </si>
  <si>
    <t>ИТОГО Инвестиционный ДП, тыс. руб.</t>
  </si>
  <si>
    <t>III. ФИНАНСОВАЯ ДЕЯТЕЛЬНОСТЬ</t>
  </si>
  <si>
    <t xml:space="preserve">  Получение кредита, тыс. руб.</t>
  </si>
  <si>
    <t xml:space="preserve">  Вклад учредителей (собств. капитал), тыс. руб.</t>
  </si>
  <si>
    <t xml:space="preserve">  Погашение основного долга, тыс. руб.</t>
  </si>
  <si>
    <t>ИТОГО Финансовый ДП, тыс. руб.</t>
  </si>
  <si>
    <t>ИТОГО Денежный поток (Net CF), тыс. руб.</t>
  </si>
  <si>
    <t>Накопленный денежный поток (Cum. CF), тыс. руб.</t>
  </si>
  <si>
    <t>IV. КРЕДИТНЫЙ ПЛАН (вспомогательные расчёты)</t>
  </si>
  <si>
    <t xml:space="preserve">  Остаток долга (начало периода), тыс. руб.</t>
  </si>
  <si>
    <t xml:space="preserve">  Получено кредита, тыс. руб.</t>
  </si>
  <si>
    <t xml:space="preserve">  Начисленные проценты, тыс. руб.</t>
  </si>
  <si>
    <t xml:space="preserve">  Погашено основного долга, тыс. руб.</t>
  </si>
  <si>
    <t xml:space="preserve">  Остаток долга (конец периода), тыс. руб.</t>
  </si>
  <si>
    <t>V. ОБОРОТНЫЙ КАПИТАЛ (вспомогательные расчёты)</t>
  </si>
  <si>
    <t xml:space="preserve">  Дебиторская задолженность (ДЗ), тыс. руб.</t>
  </si>
  <si>
    <t xml:space="preserve">  Запасы (материалы + НЗП), тыс. руб.</t>
  </si>
  <si>
    <t xml:space="preserve">  Кредиторская задолженность (КЗ), тыс. руб.</t>
  </si>
  <si>
    <t xml:space="preserve">  Чистый оборотный капитал (НОК), тыс. руб.</t>
  </si>
  <si>
    <t xml:space="preserve">  ΔНОК (изменение ОК), тыс. руб.</t>
  </si>
  <si>
    <t>ПРОГНОЗНЫЙ БАЛАНС</t>
  </si>
  <si>
    <t>АКТИВЫ</t>
  </si>
  <si>
    <t>I. ВНЕОБОРОТНЫЕ АКТИВЫ</t>
  </si>
  <si>
    <t xml:space="preserve">  Основные средства (нетто), тыс. руб.</t>
  </si>
  <si>
    <t>ИТОГО внеоборотные активы, тыс. руб.</t>
  </si>
  <si>
    <t>II. ОБОРОТНЫЕ АКТИВЫ</t>
  </si>
  <si>
    <t xml:space="preserve">  Дебиторская задолженность, тыс. руб.</t>
  </si>
  <si>
    <t xml:space="preserve">  Запасы (сырьё, НЗП, ГП), тыс. руб.</t>
  </si>
  <si>
    <t xml:space="preserve">  Денежные средства, тыс. руб.</t>
  </si>
  <si>
    <t>ИТОГО оборотные активы, тыс. руб.</t>
  </si>
  <si>
    <t>ИТОГО АКТИВЫ, тыс. руб.</t>
  </si>
  <si>
    <t>ОБЯЗАТЕЛЬСТВА И КАПИТАЛ</t>
  </si>
  <si>
    <t>III. ОБЯЗАТЕЛЬСТВА</t>
  </si>
  <si>
    <t xml:space="preserve">  Кредиторская задолженность, тыс. руб.</t>
  </si>
  <si>
    <t xml:space="preserve">  Кредиты и займы (остаток), тыс. руб.</t>
  </si>
  <si>
    <t>ИТОГО обязательства, тыс. руб.</t>
  </si>
  <si>
    <t>IV. КАПИТАЛ</t>
  </si>
  <si>
    <t xml:space="preserve">  Уставный и добавочный капитал, тыс. руб.</t>
  </si>
  <si>
    <t xml:space="preserve">  Нераспределённая прибыль (накопл.), тыс. руб.</t>
  </si>
  <si>
    <t>ИТОГО капитал, тыс. руб.</t>
  </si>
  <si>
    <t>ИТОГО ОБЯЗАТЕЛЬСТВА И КАПИТАЛ, тыс. руб.</t>
  </si>
  <si>
    <t>ПРОВЕРКА (Актив − Пассив) [должно = 0]</t>
  </si>
  <si>
    <t>РАСЧЁТ СТАВКИ ДИСКОНТИРОВАНИЯ (WACC / CAPM)</t>
  </si>
  <si>
    <t>I. СТОИМОСТЬ СОБСТВЕННОГО КАПИТАЛА (Ke) — модель CAPM</t>
  </si>
  <si>
    <t>Безрисковая ставка (Rf), %</t>
  </si>
  <si>
    <t>Доходность ОФЗ-ПД 10 лет (на дату оценки) — cbr.ru</t>
  </si>
  <si>
    <t>Премия за рыночный риск (ERP = Rm−Rf), %</t>
  </si>
  <si>
    <t>Damodaran.com → Implied ERP by month</t>
  </si>
  <si>
    <t>Beta (безрычаговая, по отрасли)</t>
  </si>
  <si>
    <t>Damodaran.com → Industry betas by sector</t>
  </si>
  <si>
    <t>← из листа НАСТРОЙКИ</t>
  </si>
  <si>
    <t>D/E (рычаг по отрасли / по проекту)</t>
  </si>
  <si>
    <t>Debt/Equity ratio — Damodaran / управленческая отчётность</t>
  </si>
  <si>
    <t>Beta (рычаговая, levered)</t>
  </si>
  <si>
    <t>βu × (1 + (1−t) × D/E)</t>
  </si>
  <si>
    <t>Премия за страновой риск (CRP), %</t>
  </si>
  <si>
    <t>Damodaran.com → Country Default Spreads</t>
  </si>
  <si>
    <t>Премия за размер компании (SCP), %</t>
  </si>
  <si>
    <t>Duff &amp; Phelps / KBRA Valuation Handbook</t>
  </si>
  <si>
    <t>Специфические риски проекта (α), %</t>
  </si>
  <si>
    <t>Экспертная оценка (методология Deloitte/PWC)</t>
  </si>
  <si>
    <t>Стоимость собственного капитала (Ke), %</t>
  </si>
  <si>
    <t>Ke = Rf + βl×ERP + CRP + SCP + α</t>
  </si>
  <si>
    <t>II. СТОИМОСТЬ ЗАЁМНОГО КАПИТАЛА (Kd)</t>
  </si>
  <si>
    <t>Номинальная ставка по кредиту, %</t>
  </si>
  <si>
    <t>Налоговый щит (ставка н/п), %</t>
  </si>
  <si>
    <t>Kd после налогового щита, %</t>
  </si>
  <si>
    <t>Kd×(1−t)</t>
  </si>
  <si>
    <t>III. ИТОГОВЫЙ WACC</t>
  </si>
  <si>
    <t>Доля собственного капитала (We), %</t>
  </si>
  <si>
    <t>Доля заёмного капитала (Wd), %</t>
  </si>
  <si>
    <t>Темп роста в постпрогнозный период (g), %</t>
  </si>
  <si>
    <t>Terminal growth rate — консервативно = долгосрочная инфляция</t>
  </si>
  <si>
    <t>▶ ИТОГОВЫЙ WACC</t>
  </si>
  <si>
    <t>WACC (номинальный, годовой), %</t>
  </si>
  <si>
    <t>WACC = Ke×We + Kd_at×Wd</t>
  </si>
  <si>
    <t>WACC (ссылка — используется в модели)</t>
  </si>
  <si>
    <t>ДИСКОНТИРОВАННЫЙ ДЕНЕЖНЫЙ ПОТОК (DCF) — NPV / IRR / PI</t>
  </si>
  <si>
    <t>I. СВОБОДНЫЙ ДЕНЕЖНЫЙ ПОТОК (FCFF)</t>
  </si>
  <si>
    <t xml:space="preserve">  EBIT (Прибыль от операций), тыс. руб.</t>
  </si>
  <si>
    <t xml:space="preserve">  NOPAT = EBIT × (1−t), тыс. руб.</t>
  </si>
  <si>
    <t xml:space="preserve">  (+) Амортизация, тыс. руб.</t>
  </si>
  <si>
    <t xml:space="preserve">  (−) Изменение оборотного капитала, тыс. руб.</t>
  </si>
  <si>
    <t xml:space="preserve">  (−) Капитальные вложения, тыс. руб.</t>
  </si>
  <si>
    <t>FCFF (свободный ДП фирмы), тыс. руб.</t>
  </si>
  <si>
    <t>II. ДИСКОНТИРОВАНИЕ (WACC)</t>
  </si>
  <si>
    <t xml:space="preserve">  Номер периода (месяц)</t>
  </si>
  <si>
    <t>мес.</t>
  </si>
  <si>
    <t xml:space="preserve">  Коэффициент дисконтирования (kd)</t>
  </si>
  <si>
    <t>ед.</t>
  </si>
  <si>
    <t xml:space="preserve">  Дисконтированный FCFF (PV), тыс. руб.</t>
  </si>
  <si>
    <t xml:space="preserve">  Накопленный PV, тыс. руб.</t>
  </si>
  <si>
    <t>III. ОЦЕНКА ПРОЕКТА (NPV, Terminal Value)</t>
  </si>
  <si>
    <t>Терминальная стоимость (TV), тыс. руб.</t>
  </si>
  <si>
    <t>TV = FCFF_last×12×(1+g)/(WACC−g)</t>
  </si>
  <si>
    <t>PV Терминальной стоимости, тыс. руб.</t>
  </si>
  <si>
    <t>PV_TV = TV/(1+WACC/12)^48</t>
  </si>
  <si>
    <t>NPV проекта, тыс. руб.</t>
  </si>
  <si>
    <t>Enterprise Value (EV), тыс. руб.</t>
  </si>
  <si>
    <t>IV. IRR РАСЧЁТ</t>
  </si>
  <si>
    <t>IRR (месячный)</t>
  </si>
  <si>
    <t>IRR (годовой, аннуализированный)</t>
  </si>
  <si>
    <t>Индекс прибыльности (PI)</t>
  </si>
  <si>
    <t>ИТОГОВЫЙ ДАШБОРД — КЛЮЧЕВЫЕ ПОКАЗАТЕЛИ ПРОЕКТА (Производство)</t>
  </si>
  <si>
    <t>1. ИНВЕСТИЦИОННЫЕ ПОКАЗАТЕЛИ</t>
  </si>
  <si>
    <t>NPV проекта</t>
  </si>
  <si>
    <t>Чистая приведённая стоимость</t>
  </si>
  <si>
    <t>IRR (годовой)</t>
  </si>
  <si>
    <t>Внутренняя норма доходности</t>
  </si>
  <si>
    <t>PI (индекс прибыльности)</t>
  </si>
  <si>
    <t>x</t>
  </si>
  <si>
    <t>PI &gt; 1 = проект эффективен</t>
  </si>
  <si>
    <t>Простой срок окупаемости</t>
  </si>
  <si>
    <t>Первый месяц с накопл. CF ≥ 0</t>
  </si>
  <si>
    <t>Общий объём инвестиций</t>
  </si>
  <si>
    <t>2. ТОЧКА БЕЗУБЫТОЧНОСТИ (BEP)</t>
  </si>
  <si>
    <t>Постоянные затраты (среднее, опер. фаза)</t>
  </si>
  <si>
    <t>тыс. руб./мес.</t>
  </si>
  <si>
    <t>Доля переменных затрат в выручке</t>
  </si>
  <si>
    <t>BEP по выручке (тыс. руб./мес.)</t>
  </si>
  <si>
    <t>Минимальная выручка для безубыточности</t>
  </si>
  <si>
    <t>BEP в % от плановой выручки</t>
  </si>
  <si>
    <t>Запас прочности: чем ниже — тем лучше</t>
  </si>
  <si>
    <t>3. РЕНТАБЕЛЬНОСТЬ</t>
  </si>
  <si>
    <t>ROI (Возврат на инвестиции)</t>
  </si>
  <si>
    <t>ЧП / Общие инвестиции</t>
  </si>
  <si>
    <t>ROA (годовая)</t>
  </si>
  <si>
    <t>ЧП (год.) / Средние активы</t>
  </si>
  <si>
    <t>ROS (Рентаб. по ЧП)</t>
  </si>
  <si>
    <t>ЧП / Выручка</t>
  </si>
  <si>
    <t>EBITDA margin (средняя)</t>
  </si>
  <si>
    <t>Gross margin (средняя)</t>
  </si>
  <si>
    <t>4. ФИНАНСОВАЯ УСТОЙЧИВОСТЬ</t>
  </si>
  <si>
    <t>Максимальный кассовый разрыв</t>
  </si>
  <si>
    <t>MIN накопленного CF</t>
  </si>
  <si>
    <t>Debt/Equity (финальный)</t>
  </si>
  <si>
    <t>ICR (Interest Coverage Ratio)</t>
  </si>
  <si>
    <t>EBIT / Проценты (среднее)</t>
  </si>
  <si>
    <t>5. СРАВНЕНИЕ С РЫНОЧНЫМИ БЕНЧМАРКАМИ (2024)</t>
  </si>
  <si>
    <t>Значение проекта</t>
  </si>
  <si>
    <t>Рыночный бенчмарк</t>
  </si>
  <si>
    <t>ROA</t>
  </si>
  <si>
    <t>ROS</t>
  </si>
  <si>
    <t>EBITDA margin</t>
  </si>
  <si>
    <t>Debt/Equity</t>
  </si>
  <si>
    <t xml:space="preserve">  Производственный проект [Название компании]    ·    Горизонт: 48 мес.    ·    Инвест. фаза: 12 мес.</t>
  </si>
  <si>
    <t xml:space="preserve">  NPV проекта</t>
  </si>
  <si>
    <t xml:space="preserve">  IRR (годовой)</t>
  </si>
  <si>
    <t xml:space="preserve">  PI (индекс приб.)</t>
  </si>
  <si>
    <t xml:space="preserve">  Срок окупаемости</t>
  </si>
  <si>
    <t xml:space="preserve">   Финансовые результаты</t>
  </si>
  <si>
    <t xml:space="preserve">   Накопленный денежный поток</t>
  </si>
  <si>
    <t xml:space="preserve">   Денежный поток по периодам</t>
  </si>
  <si>
    <t xml:space="preserve">   Маржинальность: EBITDA margin · ROS</t>
  </si>
  <si>
    <t>Период, мес.</t>
  </si>
  <si>
    <t>Выручка</t>
  </si>
  <si>
    <t>EBITDA</t>
  </si>
  <si>
    <t>Чистая прибыль</t>
  </si>
  <si>
    <t>Накопленный CF</t>
  </si>
  <si>
    <t>Net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</si>
</sst>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5" formatCode="dd\.mm\.yyyy"/>
    <numFmt numFmtId="166" formatCode="#,##0;\(#,##0\);&quot;-&quot;"/>
    <numFmt numFmtId="167" formatCode="0.0%;\(0.0%\);&quot;-&quot;"/>
    <numFmt numFmtId="168" formatCode="#,##0.0;\(#,##0.0\);&quot;-&quot;"/>
    <numFmt numFmtId="169" formatCode="mmm\-yy"/>
    <numFmt numFmtId="170" formatCode="0.0000"/>
    <numFmt numFmtId="171" formatCode="0.00%;\(0.00%\);&quot;-&quot;"/>
    <numFmt numFmtId="173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b/>
      <sz val="14"/>
      <color rgb="FFFFFFFF"/>
      <name val="Arial"/>
    </font>
    <font>
      <sz val="9"/>
      <color rgb="FF0000FF"/>
      <name val="Arial"/>
    </font>
    <font>
      <sz val="9"/>
      <color rgb="FF000000"/>
      <name val="Arial"/>
    </font>
    <font>
      <sz val="9"/>
      <color rgb="FF008000"/>
      <name val="Arial"/>
    </font>
    <font>
      <b/>
      <sz val="10"/>
      <color rgb="FFFFFFFF"/>
      <name val="Arial"/>
    </font>
    <font>
      <sz val="10"/>
      <name val="Arial"/>
    </font>
    <font>
      <sz val="10"/>
      <color rgb="FF0000FF"/>
      <name val="Arial"/>
    </font>
    <font>
      <i/>
      <sz val="9"/>
      <color rgb="FF595959"/>
      <name val="Arial"/>
    </font>
    <font>
      <b/>
      <sz val="10"/>
      <color rgb="FF000000"/>
      <name val="Arial"/>
    </font>
    <font>
      <b/>
      <sz val="10"/>
      <color rgb="FF008000"/>
      <name val="Arial"/>
    </font>
    <font>
      <sz val="9"/>
      <name val="Arial"/>
    </font>
    <font>
      <b/>
      <sz val="12"/>
      <color rgb="FFFFFFFF"/>
      <name val="Arial"/>
    </font>
    <font>
      <sz val="10"/>
      <color rgb="FF000000"/>
      <name val="Arial"/>
    </font>
    <font>
      <sz val="9"/>
      <color rgb="FF595959"/>
      <name val="Arial"/>
    </font>
    <font>
      <b/>
      <sz val="10"/>
      <color rgb="FF1F4E79"/>
      <name val="Arial"/>
    </font>
    <font>
      <sz val="10"/>
      <color rgb="FF595959"/>
      <name val="Arial"/>
    </font>
    <font>
      <sz val="10"/>
      <color rgb="FF008000"/>
      <name val="Arial"/>
    </font>
    <font>
      <b/>
      <sz val="10"/>
      <color rgb="FFC00000"/>
      <name val="Arial"/>
    </font>
    <font>
      <sz val="10"/>
      <color rgb="FFC00000"/>
      <name val="Arial"/>
    </font>
    <font>
      <b/>
      <sz val="12"/>
      <color rgb="FF000000"/>
      <name val="Arial"/>
    </font>
    <font>
      <b/>
      <sz val="10"/>
      <name val="Arial"/>
    </font>
    <font>
      <b/>
      <sz val="9"/>
      <color rgb="FFFFFFFF"/>
      <name val="Arial"/>
    </font>
    <font>
      <i/>
      <sz val="9"/>
      <color rgb="FF475569"/>
      <name val="Arial"/>
    </font>
    <font>
      <b/>
      <sz val="14"/>
      <color rgb="FF1F4E79"/>
      <name val="Arial"/>
    </font>
    <font>
      <i/>
      <sz val="8"/>
      <color rgb="FF6C757D"/>
      <name val="Arial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BDD7EE"/>
      </patternFill>
    </fill>
    <fill>
      <patternFill patternType="solid">
        <fgColor rgb="FFE2EFDA"/>
      </patternFill>
    </fill>
    <fill>
      <patternFill patternType="solid">
        <fgColor rgb="FF2E75B6"/>
      </patternFill>
    </fill>
    <fill>
      <patternFill patternType="solid">
        <fgColor rgb="FFF2F2F2"/>
      </patternFill>
    </fill>
    <fill>
      <patternFill patternType="solid">
        <fgColor rgb="FFFCE4D6"/>
      </patternFill>
    </fill>
    <fill>
      <patternFill patternType="solid">
        <fgColor rgb="FF375623"/>
      </patternFill>
    </fill>
    <fill>
      <patternFill patternType="solid">
        <fgColor rgb="FFD9E1F2"/>
      </patternFill>
    </fill>
    <fill>
      <patternFill patternType="solid">
        <fgColor rgb="FF833C00"/>
      </patternFill>
    </fill>
    <fill>
      <patternFill patternType="solid">
        <fgColor rgb="FF5A5A5A"/>
      </patternFill>
    </fill>
    <fill>
      <patternFill patternType="solid">
        <fgColor rgb="FF7030A0"/>
      </patternFill>
    </fill>
    <fill>
      <patternFill patternType="solid">
        <fgColor rgb="FFC00000"/>
      </patternFill>
    </fill>
    <fill>
      <patternFill patternType="solid">
        <fgColor rgb="FFFF6600"/>
      </patternFill>
    </fill>
    <fill>
      <patternFill patternType="solid">
        <fgColor rgb="FFEAF1F8"/>
      </patternFill>
    </fill>
    <fill>
      <patternFill patternType="solid">
        <fgColor rgb="FF4F8E3A"/>
      </patternFill>
    </fill>
    <fill>
      <patternFill patternType="solid">
        <fgColor rgb="FF6C757D"/>
      </patternFill>
    </fill>
    <fill>
      <patternFill patternType="solid">
        <fgColor rgb="FF6A4C93"/>
      </patternFill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111">
    <xf numFmtId="0" fontId="0" fillId="0" borderId="0" xfId="0"/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/>
    <xf numFmtId="0" fontId="6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65" fontId="7" fillId="3" borderId="1" xfId="0" applyNumberFormat="1" applyFont="1" applyFill="1" applyBorder="1" applyAlignment="1">
      <alignment horizontal="left" vertical="center"/>
    </xf>
    <xf numFmtId="0" fontId="8" fillId="0" borderId="0" xfId="0" applyFont="1"/>
    <xf numFmtId="166" fontId="7" fillId="3" borderId="1" xfId="0" applyNumberFormat="1" applyFont="1" applyFill="1" applyBorder="1" applyAlignment="1">
      <alignment horizontal="left" vertical="center"/>
    </xf>
    <xf numFmtId="167" fontId="7" fillId="3" borderId="1" xfId="0" applyNumberFormat="1" applyFont="1" applyFill="1" applyBorder="1" applyAlignment="1">
      <alignment horizontal="left" vertical="center"/>
    </xf>
    <xf numFmtId="166" fontId="9" fillId="4" borderId="1" xfId="0" applyNumberFormat="1" applyFont="1" applyFill="1" applyBorder="1" applyAlignment="1">
      <alignment horizontal="left" vertical="center"/>
    </xf>
    <xf numFmtId="168" fontId="9" fillId="4" borderId="1" xfId="0" applyNumberFormat="1" applyFont="1" applyFill="1" applyBorder="1" applyAlignment="1">
      <alignment horizontal="left" vertical="center"/>
    </xf>
    <xf numFmtId="167" fontId="10" fillId="5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68" fontId="11" fillId="0" borderId="2" xfId="0" applyNumberFormat="1" applyFont="1" applyBorder="1"/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/>
    </xf>
    <xf numFmtId="169" fontId="13" fillId="8" borderId="1" xfId="0" applyNumberFormat="1" applyFont="1" applyFill="1" applyBorder="1" applyAlignment="1">
      <alignment horizontal="center" vertical="center"/>
    </xf>
    <xf numFmtId="169" fontId="13" fillId="0" borderId="1" xfId="0" applyNumberFormat="1" applyFont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/>
    </xf>
    <xf numFmtId="0" fontId="0" fillId="7" borderId="0" xfId="0" applyFill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7" fillId="3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166" fontId="9" fillId="0" borderId="1" xfId="0" applyNumberFormat="1" applyFont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166" fontId="9" fillId="4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167" fontId="17" fillId="5" borderId="1" xfId="0" applyNumberFormat="1" applyFont="1" applyFill="1" applyBorder="1" applyAlignment="1">
      <alignment horizontal="center" vertical="center"/>
    </xf>
    <xf numFmtId="166" fontId="7" fillId="8" borderId="1" xfId="0" applyNumberFormat="1" applyFont="1" applyFill="1" applyBorder="1" applyAlignment="1">
      <alignment horizontal="right" vertical="center"/>
    </xf>
    <xf numFmtId="0" fontId="5" fillId="9" borderId="0" xfId="0" applyFont="1" applyFill="1" applyAlignment="1">
      <alignment horizontal="left" vertical="center"/>
    </xf>
    <xf numFmtId="0" fontId="0" fillId="9" borderId="0" xfId="0" applyFill="1"/>
    <xf numFmtId="166" fontId="10" fillId="0" borderId="1" xfId="0" applyNumberFormat="1" applyFont="1" applyBorder="1" applyAlignment="1">
      <alignment horizontal="right" vertical="center"/>
    </xf>
    <xf numFmtId="166" fontId="17" fillId="0" borderId="1" xfId="0" applyNumberFormat="1" applyFont="1" applyBorder="1" applyAlignment="1">
      <alignment horizontal="right" vertical="center"/>
    </xf>
    <xf numFmtId="0" fontId="9" fillId="10" borderId="1" xfId="0" applyFont="1" applyFill="1" applyBorder="1" applyAlignment="1">
      <alignment horizontal="left" vertical="center"/>
    </xf>
    <xf numFmtId="0" fontId="13" fillId="10" borderId="1" xfId="0" applyFont="1" applyFill="1" applyBorder="1" applyAlignment="1">
      <alignment horizontal="center" vertical="center"/>
    </xf>
    <xf numFmtId="166" fontId="9" fillId="10" borderId="1" xfId="0" applyNumberFormat="1" applyFont="1" applyFill="1" applyBorder="1" applyAlignment="1">
      <alignment horizontal="right" vertical="center"/>
    </xf>
    <xf numFmtId="167" fontId="13" fillId="0" borderId="1" xfId="0" applyNumberFormat="1" applyFont="1" applyBorder="1" applyAlignment="1">
      <alignment horizontal="right" vertical="center"/>
    </xf>
    <xf numFmtId="0" fontId="5" fillId="11" borderId="0" xfId="0" applyFont="1" applyFill="1" applyAlignment="1">
      <alignment horizontal="left" vertical="center"/>
    </xf>
    <xf numFmtId="0" fontId="0" fillId="11" borderId="0" xfId="0" applyFill="1"/>
    <xf numFmtId="0" fontId="9" fillId="10" borderId="1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left" vertical="center"/>
    </xf>
    <xf numFmtId="0" fontId="0" fillId="12" borderId="0" xfId="0" applyFill="1"/>
    <xf numFmtId="0" fontId="5" fillId="13" borderId="0" xfId="0" applyFont="1" applyFill="1" applyAlignment="1">
      <alignment horizontal="left" vertical="center"/>
    </xf>
    <xf numFmtId="0" fontId="0" fillId="13" borderId="0" xfId="0" applyFill="1"/>
    <xf numFmtId="0" fontId="5" fillId="6" borderId="0" xfId="0" applyFont="1" applyFill="1" applyAlignment="1">
      <alignment horizontal="left" vertical="center"/>
    </xf>
    <xf numFmtId="0" fontId="0" fillId="6" borderId="0" xfId="0" applyFill="1"/>
    <xf numFmtId="0" fontId="18" fillId="0" borderId="1" xfId="0" applyFont="1" applyBorder="1" applyAlignment="1">
      <alignment horizontal="left" vertical="center"/>
    </xf>
    <xf numFmtId="166" fontId="19" fillId="0" borderId="1" xfId="0" applyNumberFormat="1" applyFont="1" applyBorder="1" applyAlignment="1">
      <alignment horizontal="right" vertical="center"/>
    </xf>
    <xf numFmtId="168" fontId="19" fillId="0" borderId="1" xfId="0" applyNumberFormat="1" applyFont="1" applyBorder="1" applyAlignment="1">
      <alignment horizontal="right" vertical="center"/>
    </xf>
    <xf numFmtId="167" fontId="17" fillId="5" borderId="1" xfId="0" applyNumberFormat="1" applyFont="1" applyFill="1" applyBorder="1" applyAlignment="1">
      <alignment horizontal="left" vertical="center"/>
    </xf>
    <xf numFmtId="167" fontId="9" fillId="5" borderId="1" xfId="0" applyNumberFormat="1" applyFont="1" applyFill="1" applyBorder="1" applyAlignment="1">
      <alignment horizontal="left" vertical="center"/>
    </xf>
    <xf numFmtId="167" fontId="9" fillId="4" borderId="1" xfId="0" applyNumberFormat="1" applyFont="1" applyFill="1" applyBorder="1" applyAlignment="1">
      <alignment horizontal="left" vertical="center"/>
    </xf>
    <xf numFmtId="0" fontId="5" fillId="14" borderId="0" xfId="0" applyFont="1" applyFill="1" applyAlignment="1">
      <alignment horizontal="left" vertical="center"/>
    </xf>
    <xf numFmtId="0" fontId="0" fillId="14" borderId="0" xfId="0" applyFill="1"/>
    <xf numFmtId="167" fontId="20" fillId="5" borderId="1" xfId="0" applyNumberFormat="1" applyFont="1" applyFill="1" applyBorder="1" applyAlignment="1">
      <alignment horizontal="left" vertical="center"/>
    </xf>
    <xf numFmtId="170" fontId="13" fillId="0" borderId="1" xfId="0" applyNumberFormat="1" applyFont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166" fontId="9" fillId="5" borderId="1" xfId="0" applyNumberFormat="1" applyFont="1" applyFill="1" applyBorder="1" applyAlignment="1">
      <alignment horizontal="right" vertical="center"/>
    </xf>
    <xf numFmtId="171" fontId="13" fillId="0" borderId="1" xfId="0" applyNumberFormat="1" applyFont="1" applyBorder="1" applyAlignment="1">
      <alignment horizontal="right" vertical="center"/>
    </xf>
    <xf numFmtId="171" fontId="9" fillId="5" borderId="1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21" fillId="5" borderId="0" xfId="0" applyFont="1" applyFill="1"/>
    <xf numFmtId="166" fontId="21" fillId="5" borderId="1" xfId="0" applyNumberFormat="1" applyFont="1" applyFill="1" applyBorder="1" applyAlignment="1">
      <alignment horizontal="right" vertical="center"/>
    </xf>
    <xf numFmtId="0" fontId="14" fillId="0" borderId="0" xfId="0" applyFont="1"/>
    <xf numFmtId="167" fontId="21" fillId="5" borderId="1" xfId="0" applyNumberFormat="1" applyFont="1" applyFill="1" applyBorder="1" applyAlignment="1">
      <alignment horizontal="right" vertical="center"/>
    </xf>
    <xf numFmtId="168" fontId="21" fillId="5" borderId="1" xfId="0" applyNumberFormat="1" applyFont="1" applyFill="1" applyBorder="1" applyAlignment="1">
      <alignment horizontal="right" vertical="center"/>
    </xf>
    <xf numFmtId="0" fontId="6" fillId="0" borderId="0" xfId="0" applyFont="1"/>
    <xf numFmtId="49" fontId="6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0" fontId="21" fillId="3" borderId="0" xfId="0" applyFont="1" applyFill="1"/>
    <xf numFmtId="166" fontId="21" fillId="3" borderId="1" xfId="0" applyNumberFormat="1" applyFont="1" applyFill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0" fontId="22" fillId="2" borderId="0" xfId="0" applyFont="1" applyFill="1"/>
    <xf numFmtId="167" fontId="9" fillId="0" borderId="1" xfId="0" applyNumberFormat="1" applyFont="1" applyBorder="1" applyAlignment="1">
      <alignment horizontal="right"/>
    </xf>
    <xf numFmtId="168" fontId="16" fillId="0" borderId="1" xfId="0" applyNumberFormat="1" applyFont="1" applyBorder="1" applyAlignment="1">
      <alignment horizontal="right"/>
    </xf>
    <xf numFmtId="168" fontId="9" fillId="0" borderId="1" xfId="0" applyNumberFormat="1" applyFont="1" applyBorder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12" fillId="6" borderId="0" xfId="0" applyFont="1" applyFill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11" borderId="0" xfId="0" applyFont="1" applyFill="1" applyAlignment="1">
      <alignment horizontal="left" vertical="center"/>
    </xf>
    <xf numFmtId="0" fontId="12" fillId="13" borderId="0" xfId="0" applyFont="1" applyFill="1" applyAlignment="1">
      <alignment horizontal="left" vertical="center"/>
    </xf>
    <xf numFmtId="0" fontId="12" fillId="14" borderId="0" xfId="0" applyFont="1" applyFill="1" applyAlignment="1">
      <alignment horizontal="left" vertical="center"/>
    </xf>
    <xf numFmtId="0" fontId="1" fillId="15" borderId="0" xfId="0" applyFont="1" applyFill="1" applyAlignment="1">
      <alignment horizontal="left" vertical="center"/>
    </xf>
    <xf numFmtId="166" fontId="24" fillId="16" borderId="0" xfId="0" applyNumberFormat="1" applyFont="1" applyFill="1" applyAlignment="1">
      <alignment horizontal="left" vertical="center" indent="1"/>
    </xf>
    <xf numFmtId="0" fontId="23" fillId="16" borderId="0" xfId="0" applyFont="1" applyFill="1" applyAlignment="1">
      <alignment horizontal="left" vertical="center"/>
    </xf>
    <xf numFmtId="0" fontId="5" fillId="19" borderId="0" xfId="0" applyFont="1" applyFill="1" applyAlignment="1">
      <alignment horizontal="left" vertical="center"/>
    </xf>
    <xf numFmtId="0" fontId="5" fillId="18" borderId="0" xfId="0" applyFont="1" applyFill="1" applyAlignment="1">
      <alignment horizontal="left" vertical="center"/>
    </xf>
    <xf numFmtId="0" fontId="5" fillId="17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24" fillId="16" borderId="0" xfId="0" applyNumberFormat="1" applyFont="1" applyFill="1" applyAlignment="1">
      <alignment horizontal="left" vertical="center" indent="1"/>
    </xf>
    <xf numFmtId="167" fontId="24" fillId="16" borderId="0" xfId="0" applyNumberFormat="1" applyFont="1" applyFill="1" applyAlignment="1">
      <alignment horizontal="left" vertical="center" indent="1"/>
    </xf>
    <xf numFmtId="168" fontId="24" fillId="16" borderId="0" xfId="0" applyNumberFormat="1" applyFont="1" applyFill="1" applyAlignment="1">
      <alignment horizontal="left" vertical="center" indent="1"/>
    </xf>
    <xf numFmtId="173" fontId="25" fillId="0" borderId="0" xfId="1" applyNumberFormat="1" applyFont="1"/>
    <xf numFmtId="173" fontId="0" fillId="0" borderId="0" xfId="1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Выручка</c:v>
          </c:tx>
          <c:spPr>
            <a:ln w="31750">
              <a:solidFill>
                <a:srgbClr val="1F4E79"/>
              </a:solidFill>
              <a:prstDash val="solid"/>
            </a:ln>
          </c:spPr>
          <c:marker>
            <c:symbol val="none"/>
          </c:marker>
          <c:cat>
            <c:numRef>
              <c:f>ГРАФИКИ!$D$50:$AY$50</c:f>
              <c:numCache>
                <c:formatCode>_-* #\ ##0_-;\-* #\ ##0_-;_-* "-"??_-;_-@_-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ГРАФИКИ!$D$51:$AY$51</c:f>
              <c:numCache>
                <c:formatCode>_-* #\ ##0_-;\-* #\ ##0_-;_-* "-"??_-;_-@_-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514.83788917933339</c:v>
                </c:pt>
                <c:pt idx="13">
                  <c:v>1042.5851369946399</c:v>
                </c:pt>
                <c:pt idx="14">
                  <c:v>1585.1446984478719</c:v>
                </c:pt>
                <c:pt idx="15">
                  <c:v>2140.8405641615932</c:v>
                </c:pt>
                <c:pt idx="16">
                  <c:v>2712.2350730651024</c:v>
                </c:pt>
                <c:pt idx="17">
                  <c:v>3297.6219264002993</c:v>
                </c:pt>
                <c:pt idx="18">
                  <c:v>3899.0126926092585</c:v>
                </c:pt>
                <c:pt idx="19">
                  <c:v>4514.9668531513871</c:v>
                </c:pt>
                <c:pt idx="20">
                  <c:v>5147.552581681899</c:v>
                </c:pt>
                <c:pt idx="21">
                  <c:v>5795.2933302597939</c:v>
                </c:pt>
                <c:pt idx="22">
                  <c:v>6459.9808939670438</c:v>
                </c:pt>
                <c:pt idx="23">
                  <c:v>7140.7664847242941</c:v>
                </c:pt>
                <c:pt idx="24">
                  <c:v>7868.8594419330529</c:v>
                </c:pt>
                <c:pt idx="25">
                  <c:v>8616.0595955388162</c:v>
                </c:pt>
                <c:pt idx="26">
                  <c:v>9380.8125130427543</c:v>
                </c:pt>
                <c:pt idx="27">
                  <c:v>10164.427097752032</c:v>
                </c:pt>
                <c:pt idx="28">
                  <c:v>10968.270174071651</c:v>
                </c:pt>
                <c:pt idx="29">
                  <c:v>11790.7289231084</c:v>
                </c:pt>
                <c:pt idx="30">
                  <c:v>12632.798019075915</c:v>
                </c:pt>
                <c:pt idx="31">
                  <c:v>13496.643423043788</c:v>
                </c:pt>
                <c:pt idx="32">
                  <c:v>14380.22467222739</c:v>
                </c:pt>
                <c:pt idx="33">
                  <c:v>15284.968684780686</c:v>
                </c:pt>
                <c:pt idx="34">
                  <c:v>16212.365220866337</c:v>
                </c:pt>
                <c:pt idx="35">
                  <c:v>17160.678069218746</c:v>
                </c:pt>
                <c:pt idx="36">
                  <c:v>18168.835693277382</c:v>
                </c:pt>
                <c:pt idx="37">
                  <c:v>19200.418624427039</c:v>
                </c:pt>
                <c:pt idx="38">
                  <c:v>20257.835368229553</c:v>
                </c:pt>
                <c:pt idx="39">
                  <c:v>21338.460801725138</c:v>
                </c:pt>
                <c:pt idx="40">
                  <c:v>22444.726172483533</c:v>
                </c:pt>
                <c:pt idx="41">
                  <c:v>23576.268134969141</c:v>
                </c:pt>
                <c:pt idx="42">
                  <c:v>24734.430427783296</c:v>
                </c:pt>
                <c:pt idx="43">
                  <c:v>25919.285711848504</c:v>
                </c:pt>
                <c:pt idx="44">
                  <c:v>27132.127957239696</c:v>
                </c:pt>
                <c:pt idx="45">
                  <c:v>28371.906229632335</c:v>
                </c:pt>
                <c:pt idx="46">
                  <c:v>29639.461989651623</c:v>
                </c:pt>
                <c:pt idx="47">
                  <c:v>30936.241249411658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5EB-4267-9A38-141313EB4D52}"/>
            </c:ext>
          </c:extLst>
        </c:ser>
        <c:ser>
          <c:idx val="1"/>
          <c:order val="1"/>
          <c:tx>
            <c:v>EBITDA</c:v>
          </c:tx>
          <c:spPr>
            <a:ln w="25400">
              <a:solidFill>
                <a:srgbClr val="4F8E3A"/>
              </a:solidFill>
              <a:prstDash val="solid"/>
            </a:ln>
          </c:spPr>
          <c:marker>
            <c:symbol val="none"/>
          </c:marker>
          <c:cat>
            <c:numRef>
              <c:f>ГРАФИКИ!$D$50:$AY$50</c:f>
              <c:numCache>
                <c:formatCode>_-* #\ ##0_-;\-* #\ ##0_-;_-* "-"??_-;_-@_-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ГРАФИКИ!$D$52:$AY$52</c:f>
              <c:numCache>
                <c:formatCode>_-* #\ ##0_-;\-* #\ ##0_-;_-* "-"??_-;_-@_-</c:formatCode>
                <c:ptCount val="48"/>
                <c:pt idx="0">
                  <c:v>-2260</c:v>
                </c:pt>
                <c:pt idx="1">
                  <c:v>-2290.1333333333337</c:v>
                </c:pt>
                <c:pt idx="2">
                  <c:v>-2320.6684444444445</c:v>
                </c:pt>
                <c:pt idx="3">
                  <c:v>-2351.6106903703712</c:v>
                </c:pt>
                <c:pt idx="4">
                  <c:v>-2382.9654995753094</c:v>
                </c:pt>
                <c:pt idx="5">
                  <c:v>-2414.7383729029807</c:v>
                </c:pt>
                <c:pt idx="6">
                  <c:v>-2446.9348845416871</c:v>
                </c:pt>
                <c:pt idx="7">
                  <c:v>-2479.560683002243</c:v>
                </c:pt>
                <c:pt idx="8">
                  <c:v>-2512.6214921089395</c:v>
                </c:pt>
                <c:pt idx="9">
                  <c:v>-2546.123112003726</c:v>
                </c:pt>
                <c:pt idx="10">
                  <c:v>-2580.0714201637757</c:v>
                </c:pt>
                <c:pt idx="11">
                  <c:v>-2614.4723724326259</c:v>
                </c:pt>
                <c:pt idx="12">
                  <c:v>-2350.7260283410483</c:v>
                </c:pt>
                <c:pt idx="13">
                  <c:v>-2079.9570513290382</c:v>
                </c:pt>
                <c:pt idx="14">
                  <c:v>-1801.0679247633095</c:v>
                </c:pt>
                <c:pt idx="15">
                  <c:v>-1515.037013980859</c:v>
                </c:pt>
                <c:pt idx="16">
                  <c:v>-1220.3845260327516</c:v>
                </c:pt>
                <c:pt idx="17">
                  <c:v>-918.10656267714467</c:v>
                </c:pt>
                <c:pt idx="18">
                  <c:v>-607.04294867580575</c:v>
                </c:pt>
                <c:pt idx="19">
                  <c:v>-288.03580636656034</c:v>
                </c:pt>
                <c:pt idx="20">
                  <c:v>40.107695098544355</c:v>
                </c:pt>
                <c:pt idx="21">
                  <c:v>376.52435857669707</c:v>
                </c:pt>
                <c:pt idx="22">
                  <c:v>722.24653522058202</c:v>
                </c:pt>
                <c:pt idx="23">
                  <c:v>1076.7749460827158</c:v>
                </c:pt>
                <c:pt idx="24">
                  <c:v>1458.2039330630314</c:v>
                </c:pt>
                <c:pt idx="25">
                  <c:v>1850.1702282442652</c:v>
                </c:pt>
                <c:pt idx="26">
                  <c:v>2251.7649959009723</c:v>
                </c:pt>
                <c:pt idx="27">
                  <c:v>2663.7400382101687</c:v>
                </c:pt>
                <c:pt idx="28">
                  <c:v>3086.8806534290675</c:v>
                </c:pt>
                <c:pt idx="29">
                  <c:v>3520.2438472366152</c:v>
                </c:pt>
                <c:pt idx="30">
                  <c:v>3964.3988705222232</c:v>
                </c:pt>
                <c:pt idx="31">
                  <c:v>4420.594218416365</c:v>
                </c:pt>
                <c:pt idx="32">
                  <c:v>4887.6385567168672</c:v>
                </c:pt>
                <c:pt idx="33">
                  <c:v>5366.351527288778</c:v>
                </c:pt>
                <c:pt idx="34">
                  <c:v>5857.5891140866679</c:v>
                </c:pt>
                <c:pt idx="35">
                  <c:v>6360.3361299441867</c:v>
                </c:pt>
                <c:pt idx="36">
                  <c:v>6897.162789895493</c:v>
                </c:pt>
                <c:pt idx="37">
                  <c:v>7446.9373977995547</c:v>
                </c:pt>
                <c:pt idx="38">
                  <c:v>8011.0483704801045</c:v>
                </c:pt>
                <c:pt idx="39">
                  <c:v>8587.9645066663034</c:v>
                </c:pt>
                <c:pt idx="40">
                  <c:v>9179.0871849283831</c:v>
                </c:pt>
                <c:pt idx="41">
                  <c:v>9784.1968032352088</c:v>
                </c:pt>
                <c:pt idx="42">
                  <c:v>10404.063750200126</c:v>
                </c:pt>
                <c:pt idx="43">
                  <c:v>11038.721069652423</c:v>
                </c:pt>
                <c:pt idx="44">
                  <c:v>11688.910043403052</c:v>
                </c:pt>
                <c:pt idx="45">
                  <c:v>12354.011785766837</c:v>
                </c:pt>
                <c:pt idx="46">
                  <c:v>13034.504875545757</c:v>
                </c:pt>
                <c:pt idx="47">
                  <c:v>13731.218405160547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EB-4267-9A38-141313EB4D52}"/>
            </c:ext>
          </c:extLst>
        </c:ser>
        <c:ser>
          <c:idx val="2"/>
          <c:order val="2"/>
          <c:tx>
            <c:v>Чистая прибыль</c:v>
          </c:tx>
          <c:spPr>
            <a:ln w="25400">
              <a:solidFill>
                <a:srgbClr val="D4691A"/>
              </a:solidFill>
              <a:prstDash val="solid"/>
            </a:ln>
          </c:spPr>
          <c:marker>
            <c:symbol val="none"/>
          </c:marker>
          <c:cat>
            <c:numRef>
              <c:f>ГРАФИКИ!$D$50:$AY$50</c:f>
              <c:numCache>
                <c:formatCode>_-* #\ ##0_-;\-* #\ ##0_-;_-* "-"??_-;_-@_-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ГРАФИКИ!$D$53:$AY$53</c:f>
              <c:numCache>
                <c:formatCode>_-* #\ ##0_-;\-* #\ ##0_-;_-* "-"??_-;_-@_-</c:formatCode>
                <c:ptCount val="48"/>
                <c:pt idx="0">
                  <c:v>-3353.3333333333335</c:v>
                </c:pt>
                <c:pt idx="1">
                  <c:v>-3383.4666666666672</c:v>
                </c:pt>
                <c:pt idx="2">
                  <c:v>-3414.001777777778</c:v>
                </c:pt>
                <c:pt idx="3">
                  <c:v>-3444.9440237037047</c:v>
                </c:pt>
                <c:pt idx="4">
                  <c:v>-3476.2988329086429</c:v>
                </c:pt>
                <c:pt idx="5">
                  <c:v>-3508.0717062363142</c:v>
                </c:pt>
                <c:pt idx="6">
                  <c:v>-3540.2682178750206</c:v>
                </c:pt>
                <c:pt idx="7">
                  <c:v>-3541.2273496689099</c:v>
                </c:pt>
                <c:pt idx="8">
                  <c:v>-3542.6214921089395</c:v>
                </c:pt>
                <c:pt idx="9">
                  <c:v>-3544.4564453370594</c:v>
                </c:pt>
                <c:pt idx="10">
                  <c:v>-3546.7380868304426</c:v>
                </c:pt>
                <c:pt idx="11">
                  <c:v>-3549.4723724326259</c:v>
                </c:pt>
                <c:pt idx="12">
                  <c:v>-3254.0593616743818</c:v>
                </c:pt>
                <c:pt idx="13">
                  <c:v>-2951.6237179957052</c:v>
                </c:pt>
                <c:pt idx="14">
                  <c:v>-2641.0679247633093</c:v>
                </c:pt>
                <c:pt idx="15">
                  <c:v>-2323.3703473141923</c:v>
                </c:pt>
                <c:pt idx="16">
                  <c:v>-1997.0511926994182</c:v>
                </c:pt>
                <c:pt idx="17">
                  <c:v>-1663.1065626771447</c:v>
                </c:pt>
                <c:pt idx="18">
                  <c:v>-1320.376282009139</c:v>
                </c:pt>
                <c:pt idx="19">
                  <c:v>-969.70247303322685</c:v>
                </c:pt>
                <c:pt idx="20">
                  <c:v>-609.89230490145565</c:v>
                </c:pt>
                <c:pt idx="21">
                  <c:v>-241.80897475663625</c:v>
                </c:pt>
                <c:pt idx="22">
                  <c:v>101.68490141543651</c:v>
                </c:pt>
                <c:pt idx="23">
                  <c:v>391.33120956203697</c:v>
                </c:pt>
                <c:pt idx="24">
                  <c:v>701.15294979727355</c:v>
                </c:pt>
                <c:pt idx="25">
                  <c:v>1018.877671183199</c:v>
                </c:pt>
                <c:pt idx="26">
                  <c:v>1343.8237469257292</c:v>
                </c:pt>
                <c:pt idx="27">
                  <c:v>1676.5550286576263</c:v>
                </c:pt>
                <c:pt idx="28">
                  <c:v>2017.6604900718003</c:v>
                </c:pt>
                <c:pt idx="29">
                  <c:v>2366.4328854274613</c:v>
                </c:pt>
                <c:pt idx="30">
                  <c:v>2723.2991528916673</c:v>
                </c:pt>
                <c:pt idx="31">
                  <c:v>3065.4456638122738</c:v>
                </c:pt>
                <c:pt idx="32">
                  <c:v>3415.7289175376509</c:v>
                </c:pt>
                <c:pt idx="33">
                  <c:v>3774.7636454665835</c:v>
                </c:pt>
                <c:pt idx="34">
                  <c:v>4143.1918355650014</c:v>
                </c:pt>
                <c:pt idx="35">
                  <c:v>4520.2520974581403</c:v>
                </c:pt>
                <c:pt idx="36">
                  <c:v>4922.8720924216195</c:v>
                </c:pt>
                <c:pt idx="37">
                  <c:v>5335.2030483496665</c:v>
                </c:pt>
                <c:pt idx="38">
                  <c:v>5758.2862778600784</c:v>
                </c:pt>
                <c:pt idx="39">
                  <c:v>6190.9733799997266</c:v>
                </c:pt>
                <c:pt idx="40">
                  <c:v>6634.3153886962864</c:v>
                </c:pt>
                <c:pt idx="41">
                  <c:v>7088.1476024264066</c:v>
                </c:pt>
                <c:pt idx="42">
                  <c:v>7553.0478126500948</c:v>
                </c:pt>
                <c:pt idx="43">
                  <c:v>8029.0408022393167</c:v>
                </c:pt>
                <c:pt idx="44">
                  <c:v>8516.6825325522877</c:v>
                </c:pt>
                <c:pt idx="45">
                  <c:v>9015.5088393251281</c:v>
                </c:pt>
                <c:pt idx="46">
                  <c:v>9525.8786566593171</c:v>
                </c:pt>
                <c:pt idx="47">
                  <c:v>10048.41380387041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5EB-4267-9A38-141313EB4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_-* #\ ##0_-;\-* #\ ##0_-;_-* &quot;-&quot;??_-;_-@_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tickLblSkip val="4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#,##0" sourceLinked="0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Накопленный CF</c:v>
          </c:tx>
          <c:spPr>
            <a:ln w="31750">
              <a:solidFill>
                <a:srgbClr val="4F8E3A"/>
              </a:solidFill>
              <a:prstDash val="solid"/>
            </a:ln>
          </c:spPr>
          <c:marker>
            <c:symbol val="none"/>
          </c:marker>
          <c:cat>
            <c:numRef>
              <c:f>ГРАФИКИ!$D$50:$AY$50</c:f>
              <c:numCache>
                <c:formatCode>_-* #\ ##0_-;\-* #\ ##0_-;_-* "-"??_-;_-@_-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ГРАФИКИ!$D$54:$AY$54</c:f>
              <c:numCache>
                <c:formatCode>_-* #\ ##0_-;\-* #\ ##0_-;_-* "-"??_-;_-@_-</c:formatCode>
                <c:ptCount val="48"/>
                <c:pt idx="0">
                  <c:v>51647</c:v>
                </c:pt>
                <c:pt idx="1">
                  <c:v>44078.400000000001</c:v>
                </c:pt>
                <c:pt idx="2">
                  <c:v>36889.192000000003</c:v>
                </c:pt>
                <c:pt idx="3">
                  <c:v>30079.967893333334</c:v>
                </c:pt>
                <c:pt idx="4">
                  <c:v>23649.314131911109</c:v>
                </c:pt>
                <c:pt idx="5">
                  <c:v>17596.811653669924</c:v>
                </c:pt>
                <c:pt idx="6">
                  <c:v>9922.0358090521877</c:v>
                </c:pt>
                <c:pt idx="7">
                  <c:v>2657.2229531728826</c:v>
                </c:pt>
                <c:pt idx="8">
                  <c:v>-4199.0629630070362</c:v>
                </c:pt>
                <c:pt idx="9">
                  <c:v>-10647.263802513799</c:v>
                </c:pt>
                <c:pt idx="10">
                  <c:v>-16687.827319880649</c:v>
                </c:pt>
                <c:pt idx="11">
                  <c:v>-22319.207239701282</c:v>
                </c:pt>
                <c:pt idx="12">
                  <c:v>-27714.759839659815</c:v>
                </c:pt>
                <c:pt idx="13">
                  <c:v>-32819.708633531263</c:v>
                </c:pt>
                <c:pt idx="14">
                  <c:v>-37627.666285096791</c:v>
                </c:pt>
                <c:pt idx="15">
                  <c:v>-42129.966980879755</c:v>
                </c:pt>
                <c:pt idx="16">
                  <c:v>-46320.322026604023</c:v>
                </c:pt>
                <c:pt idx="17">
                  <c:v>-50189.554384848932</c:v>
                </c:pt>
                <c:pt idx="18">
                  <c:v>-53730.710117705836</c:v>
                </c:pt>
                <c:pt idx="19">
                  <c:v>-56934.536026255759</c:v>
                </c:pt>
                <c:pt idx="20">
                  <c:v>-59793.779006646764</c:v>
                </c:pt>
                <c:pt idx="21">
                  <c:v>-62298.823471747535</c:v>
                </c:pt>
                <c:pt idx="22">
                  <c:v>-64475.890659010234</c:v>
                </c:pt>
                <c:pt idx="23">
                  <c:v>-66378.057005929004</c:v>
                </c:pt>
                <c:pt idx="24">
                  <c:v>-68013.548862779746</c:v>
                </c:pt>
                <c:pt idx="25">
                  <c:v>-69348.802394284779</c:v>
                </c:pt>
                <c:pt idx="26">
                  <c:v>-70375.183030477841</c:v>
                </c:pt>
                <c:pt idx="27">
                  <c:v>-71086.098002916173</c:v>
                </c:pt>
                <c:pt idx="28">
                  <c:v>-71474.418295470328</c:v>
                </c:pt>
                <c:pt idx="29">
                  <c:v>-71531.010680394858</c:v>
                </c:pt>
                <c:pt idx="30">
                  <c:v>-69248.687828789669</c:v>
                </c:pt>
                <c:pt idx="31">
                  <c:v>-66644.141929974721</c:v>
                </c:pt>
                <c:pt idx="32">
                  <c:v>-63707.380846990309</c:v>
                </c:pt>
                <c:pt idx="33">
                  <c:v>-60430.953047158444</c:v>
                </c:pt>
                <c:pt idx="34">
                  <c:v>-56806.822215343207</c:v>
                </c:pt>
                <c:pt idx="35">
                  <c:v>-52824.777812320841</c:v>
                </c:pt>
                <c:pt idx="36">
                  <c:v>-48494.686511371248</c:v>
                </c:pt>
                <c:pt idx="37">
                  <c:v>-43773.697159771924</c:v>
                </c:pt>
                <c:pt idx="38">
                  <c:v>-38653.250769012782</c:v>
                </c:pt>
                <c:pt idx="39">
                  <c:v>-33121.356170182342</c:v>
                </c:pt>
                <c:pt idx="40">
                  <c:v>-27169.572478498128</c:v>
                </c:pt>
                <c:pt idx="41">
                  <c:v>-20787.080452128288</c:v>
                </c:pt>
                <c:pt idx="42">
                  <c:v>-13964.036525780779</c:v>
                </c:pt>
                <c:pt idx="43">
                  <c:v>-6689.4156923248393</c:v>
                </c:pt>
                <c:pt idx="44">
                  <c:v>1047.2516033891916</c:v>
                </c:pt>
                <c:pt idx="45">
                  <c:v>9258.1045929465345</c:v>
                </c:pt>
                <c:pt idx="46">
                  <c:v>17953.919340028166</c:v>
                </c:pt>
                <c:pt idx="47">
                  <c:v>27145.543562872899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447-437D-BAC9-80AD63C25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_-* #\ ##0_-;\-* #\ ##0_-;_-* &quot;-&quot;??_-;_-@_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tickLblSkip val="4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#,##0" sourceLinked="0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Net CF</c:v>
          </c:tx>
          <c:spPr>
            <a:solidFill>
              <a:srgbClr val="1F4E79"/>
            </a:solidFill>
            <a:ln>
              <a:solidFill>
                <a:srgbClr val="1F4E79"/>
              </a:solidFill>
              <a:prstDash val="solid"/>
            </a:ln>
          </c:spPr>
          <c:invertIfNegative val="1"/>
          <c:cat>
            <c:numRef>
              <c:f>ГРАФИКИ!$D$50:$AY$50</c:f>
              <c:numCache>
                <c:formatCode>_-* #\ ##0_-;\-* #\ ##0_-;_-* "-"??_-;_-@_-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ГРАФИКИ!$D$55:$AY$55</c:f>
              <c:numCache>
                <c:formatCode>_-* #\ ##0_-;\-* #\ ##0_-;_-* "-"??_-;_-@_-</c:formatCode>
                <c:ptCount val="48"/>
                <c:pt idx="0">
                  <c:v>51647</c:v>
                </c:pt>
                <c:pt idx="1">
                  <c:v>-7568.6</c:v>
                </c:pt>
                <c:pt idx="2">
                  <c:v>-7189.2080000000005</c:v>
                </c:pt>
                <c:pt idx="3">
                  <c:v>-6809.2241066666675</c:v>
                </c:pt>
                <c:pt idx="4">
                  <c:v>-6430.6537614222234</c:v>
                </c:pt>
                <c:pt idx="5">
                  <c:v>-6052.5024782411865</c:v>
                </c:pt>
                <c:pt idx="6">
                  <c:v>-7674.7758446177359</c:v>
                </c:pt>
                <c:pt idx="7">
                  <c:v>-7264.8128558793051</c:v>
                </c:pt>
                <c:pt idx="8">
                  <c:v>-6856.2859161799188</c:v>
                </c:pt>
                <c:pt idx="9">
                  <c:v>-6448.2008395067623</c:v>
                </c:pt>
                <c:pt idx="10">
                  <c:v>-6040.5635173668525</c:v>
                </c:pt>
                <c:pt idx="11">
                  <c:v>-5631.3799198206325</c:v>
                </c:pt>
                <c:pt idx="12">
                  <c:v>-5395.5525999585334</c:v>
                </c:pt>
                <c:pt idx="13">
                  <c:v>-5104.9487938714492</c:v>
                </c:pt>
                <c:pt idx="14">
                  <c:v>-4807.9576515655272</c:v>
                </c:pt>
                <c:pt idx="15">
                  <c:v>-4502.3006957829648</c:v>
                </c:pt>
                <c:pt idx="16">
                  <c:v>-4190.3550457242645</c:v>
                </c:pt>
                <c:pt idx="17">
                  <c:v>-3869.2323582449071</c:v>
                </c:pt>
                <c:pt idx="18">
                  <c:v>-3541.1557328569061</c:v>
                </c:pt>
                <c:pt idx="19">
                  <c:v>-3203.825908549924</c:v>
                </c:pt>
                <c:pt idx="20">
                  <c:v>-2859.2429803910063</c:v>
                </c:pt>
                <c:pt idx="21">
                  <c:v>-2505.0444651007706</c:v>
                </c:pt>
                <c:pt idx="22">
                  <c:v>-2177.0671872627017</c:v>
                </c:pt>
                <c:pt idx="23">
                  <c:v>-1902.1663469187692</c:v>
                </c:pt>
                <c:pt idx="24">
                  <c:v>-1635.4918568507424</c:v>
                </c:pt>
                <c:pt idx="25">
                  <c:v>-1335.2535315050404</c:v>
                </c:pt>
                <c:pt idx="26">
                  <c:v>-1026.3806361930554</c:v>
                </c:pt>
                <c:pt idx="27">
                  <c:v>-710.91497243833123</c:v>
                </c:pt>
                <c:pt idx="28">
                  <c:v>-388.320292554155</c:v>
                </c:pt>
                <c:pt idx="29">
                  <c:v>-56.592384924524595</c:v>
                </c:pt>
                <c:pt idx="30">
                  <c:v>2282.3228516051936</c:v>
                </c:pt>
                <c:pt idx="31">
                  <c:v>2604.5458988149508</c:v>
                </c:pt>
                <c:pt idx="32">
                  <c:v>2936.7610829844111</c:v>
                </c:pt>
                <c:pt idx="33">
                  <c:v>3276.4277998318685</c:v>
                </c:pt>
                <c:pt idx="34">
                  <c:v>3624.1308318152396</c:v>
                </c:pt>
                <c:pt idx="35">
                  <c:v>3982.0444030223689</c:v>
                </c:pt>
                <c:pt idx="36">
                  <c:v>4330.0913009495935</c:v>
                </c:pt>
                <c:pt idx="37">
                  <c:v>4720.9893515993244</c:v>
                </c:pt>
                <c:pt idx="38">
                  <c:v>5120.446390759138</c:v>
                </c:pt>
                <c:pt idx="39">
                  <c:v>5531.8945988304376</c:v>
                </c:pt>
                <c:pt idx="40">
                  <c:v>5951.7836916842143</c:v>
                </c:pt>
                <c:pt idx="41">
                  <c:v>6382.4920263698396</c:v>
                </c:pt>
                <c:pt idx="42">
                  <c:v>6823.0439263475082</c:v>
                </c:pt>
                <c:pt idx="43">
                  <c:v>7274.6208334559396</c:v>
                </c:pt>
                <c:pt idx="44">
                  <c:v>7736.6672957140308</c:v>
                </c:pt>
                <c:pt idx="45">
                  <c:v>8210.8529895573429</c:v>
                </c:pt>
                <c:pt idx="46">
                  <c:v>8695.814747081633</c:v>
                </c:pt>
                <c:pt idx="47">
                  <c:v>9191.6242228447336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1F4E79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62C-4787-B954-1452C92B2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_-* #\ ##0_-;\-* #\ ##0_-;_-* &quot;-&quot;??_-;_-@_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tickLblSkip val="4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#,##0" sourceLinked="0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EBITDA margin</c:v>
          </c:tx>
          <c:spPr>
            <a:ln w="28575">
              <a:solidFill>
                <a:srgbClr val="6A4C93"/>
              </a:solidFill>
              <a:prstDash val="solid"/>
            </a:ln>
          </c:spPr>
          <c:marker>
            <c:symbol val="none"/>
          </c:marker>
          <c:cat>
            <c:numRef>
              <c:f>ГРАФИКИ!$D$50:$AY$50</c:f>
              <c:numCache>
                <c:formatCode>_-* #\ ##0_-;\-* #\ ##0_-;_-* "-"??_-;_-@_-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ГРАФИКИ!$D$56:$AY$56</c:f>
              <c:numCache>
                <c:formatCode>_-* #\ ##0_-;\-* #\ ##0_-;_-* "-"??_-;_-@_-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-4.565953823033837</c:v>
                </c:pt>
                <c:pt idx="13">
                  <c:v>-1.9949997151548993</c:v>
                </c:pt>
                <c:pt idx="14">
                  <c:v>-1.1362167293161713</c:v>
                </c:pt>
                <c:pt idx="15">
                  <c:v>-0.70768325271068722</c:v>
                </c:pt>
                <c:pt idx="16">
                  <c:v>-0.44995529264858025</c:v>
                </c:pt>
                <c:pt idx="17">
                  <c:v>-0.27841474346313388</c:v>
                </c:pt>
                <c:pt idx="18">
                  <c:v>-0.1556914523070112</c:v>
                </c:pt>
                <c:pt idx="19">
                  <c:v>-6.3795774306851252E-2</c:v>
                </c:pt>
                <c:pt idx="20">
                  <c:v>7.7916047407212037E-3</c:v>
                </c:pt>
                <c:pt idx="21">
                  <c:v>6.4970716255326813E-2</c:v>
                </c:pt>
                <c:pt idx="22">
                  <c:v>0.11180319989724519</c:v>
                </c:pt>
                <c:pt idx="23">
                  <c:v>0.15079262826843304</c:v>
                </c:pt>
                <c:pt idx="24">
                  <c:v>0.18531325204416296</c:v>
                </c:pt>
                <c:pt idx="25">
                  <c:v>0.21473507787739049</c:v>
                </c:pt>
                <c:pt idx="26">
                  <c:v>0.24003944144179376</c:v>
                </c:pt>
                <c:pt idx="27">
                  <c:v>0.26206494597214264</c:v>
                </c:pt>
                <c:pt idx="28">
                  <c:v>0.28143732826041001</c:v>
                </c:pt>
                <c:pt idx="29">
                  <c:v>0.29856032397940757</c:v>
                </c:pt>
                <c:pt idx="30">
                  <c:v>0.3138179573943839</c:v>
                </c:pt>
                <c:pt idx="31">
                  <c:v>0.32753285982711577</c:v>
                </c:pt>
                <c:pt idx="32">
                  <c:v>0.3398861052676313</c:v>
                </c:pt>
                <c:pt idx="33">
                  <c:v>0.35108685126925243</c:v>
                </c:pt>
                <c:pt idx="34">
                  <c:v>0.36130379708863092</c:v>
                </c:pt>
                <c:pt idx="35">
                  <c:v>0.37063431318327544</c:v>
                </c:pt>
                <c:pt idx="36">
                  <c:v>0.37961501255952795</c:v>
                </c:pt>
                <c:pt idx="37">
                  <c:v>0.38785286630810528</c:v>
                </c:pt>
                <c:pt idx="38">
                  <c:v>0.39545431310217205</c:v>
                </c:pt>
                <c:pt idx="39">
                  <c:v>0.40246410397004817</c:v>
                </c:pt>
                <c:pt idx="40">
                  <c:v>0.40896409759641578</c:v>
                </c:pt>
                <c:pt idx="41">
                  <c:v>0.41500193106147054</c:v>
                </c:pt>
                <c:pt idx="42">
                  <c:v>0.42063081988391438</c:v>
                </c:pt>
                <c:pt idx="43">
                  <c:v>0.42588832085778827</c:v>
                </c:pt>
                <c:pt idx="44">
                  <c:v>0.43081434901917032</c:v>
                </c:pt>
                <c:pt idx="45">
                  <c:v>0.43543115100472157</c:v>
                </c:pt>
                <c:pt idx="46">
                  <c:v>0.43976860578969512</c:v>
                </c:pt>
                <c:pt idx="47">
                  <c:v>0.44385542168674696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35D-487D-B594-279CD406CC83}"/>
            </c:ext>
          </c:extLst>
        </c:ser>
        <c:ser>
          <c:idx val="1"/>
          <c:order val="1"/>
          <c:tx>
            <c:v>ROS</c:v>
          </c:tx>
          <c:spPr>
            <a:ln w="28575">
              <a:solidFill>
                <a:srgbClr val="4F8E3A"/>
              </a:solidFill>
              <a:prstDash val="solid"/>
            </a:ln>
          </c:spPr>
          <c:marker>
            <c:symbol val="none"/>
          </c:marker>
          <c:cat>
            <c:numRef>
              <c:f>ГРАФИКИ!$D$50:$AY$50</c:f>
              <c:numCache>
                <c:formatCode>_-* #\ ##0_-;\-* #\ ##0_-;_-* "-"??_-;_-@_-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ГРАФИКИ!$D$57:$AY$57</c:f>
              <c:numCache>
                <c:formatCode>_-* #\ ##0_-;\-* #\ ##0_-;_-* "-"??_-;_-@_-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-6.3205514397191074</c:v>
                </c:pt>
                <c:pt idx="13">
                  <c:v>-2.8310625322206948</c:v>
                </c:pt>
                <c:pt idx="14">
                  <c:v>-1.6661368059012953</c:v>
                </c:pt>
                <c:pt idx="15">
                  <c:v>-1.0852608018589569</c:v>
                </c:pt>
                <c:pt idx="16">
                  <c:v>-0.73631198583482171</c:v>
                </c:pt>
                <c:pt idx="17">
                  <c:v>-0.50433512385472279</c:v>
                </c:pt>
                <c:pt idx="18">
                  <c:v>-0.33864375063768515</c:v>
                </c:pt>
                <c:pt idx="19">
                  <c:v>-0.21477510346646009</c:v>
                </c:pt>
                <c:pt idx="20">
                  <c:v>-0.11848199609884916</c:v>
                </c:pt>
                <c:pt idx="21">
                  <c:v>-4.1725062214546492E-2</c:v>
                </c:pt>
                <c:pt idx="22">
                  <c:v>1.5740743368204035E-2</c:v>
                </c:pt>
                <c:pt idx="23">
                  <c:v>5.4802409573143508E-2</c:v>
                </c:pt>
                <c:pt idx="24">
                  <c:v>8.9104774964061287E-2</c:v>
                </c:pt>
                <c:pt idx="25">
                  <c:v>0.11825332216953895</c:v>
                </c:pt>
                <c:pt idx="26">
                  <c:v>0.14325238299532408</c:v>
                </c:pt>
                <c:pt idx="27">
                  <c:v>0.16494338663006533</c:v>
                </c:pt>
                <c:pt idx="28">
                  <c:v>0.18395430255186743</c:v>
                </c:pt>
                <c:pt idx="29">
                  <c:v>0.20070284889592702</c:v>
                </c:pt>
                <c:pt idx="30">
                  <c:v>0.2155737112854493</c:v>
                </c:pt>
                <c:pt idx="31">
                  <c:v>0.22712652084876292</c:v>
                </c:pt>
                <c:pt idx="32">
                  <c:v>0.23752959327085255</c:v>
                </c:pt>
                <c:pt idx="33">
                  <c:v>0.24695920046111269</c:v>
                </c:pt>
                <c:pt idx="34">
                  <c:v>0.25555751916027969</c:v>
                </c:pt>
                <c:pt idx="35">
                  <c:v>0.26340754597373134</c:v>
                </c:pt>
                <c:pt idx="36">
                  <c:v>0.27095143439725872</c:v>
                </c:pt>
                <c:pt idx="37">
                  <c:v>0.27786910028941492</c:v>
                </c:pt>
                <c:pt idx="38">
                  <c:v>0.2842498309020135</c:v>
                </c:pt>
                <c:pt idx="39">
                  <c:v>0.29013214390323827</c:v>
                </c:pt>
                <c:pt idx="40">
                  <c:v>0.29558459914871804</c:v>
                </c:pt>
                <c:pt idx="41">
                  <c:v>0.30064756482443544</c:v>
                </c:pt>
                <c:pt idx="42">
                  <c:v>0.30536574653306059</c:v>
                </c:pt>
                <c:pt idx="43">
                  <c:v>0.30977091311466948</c:v>
                </c:pt>
                <c:pt idx="44">
                  <c:v>0.3138965932187332</c:v>
                </c:pt>
                <c:pt idx="45">
                  <c:v>0.31776182983112722</c:v>
                </c:pt>
                <c:pt idx="46">
                  <c:v>0.32139175333159559</c:v>
                </c:pt>
                <c:pt idx="47">
                  <c:v>0.32481042938794347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35D-487D-B594-279CD406C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_-* #\ ##0_-;\-* #\ ##0_-;_-* &quot;-&quot;??_-;_-@_-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tickLblSkip val="4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0.0%" sourceLinked="0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11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6</xdr:row>
      <xdr:rowOff>0</xdr:rowOff>
    </xdr:from>
    <xdr:to>
      <xdr:col>22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27</xdr:row>
      <xdr:rowOff>0</xdr:rowOff>
    </xdr:from>
    <xdr:to>
      <xdr:col>11</xdr:col>
      <xdr:colOff>0</xdr:colOff>
      <xdr:row>46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0</xdr:colOff>
      <xdr:row>27</xdr:row>
      <xdr:rowOff>0</xdr:rowOff>
    </xdr:from>
    <xdr:to>
      <xdr:col>22</xdr:col>
      <xdr:colOff>0</xdr:colOff>
      <xdr:row>46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</sheetPr>
  <dimension ref="A1:C54"/>
  <sheetViews>
    <sheetView workbookViewId="0">
      <pane ySplit="3" topLeftCell="A4" activePane="bottomLeft" state="frozen"/>
      <selection pane="bottomLeft" sqref="A1:C1"/>
    </sheetView>
  </sheetViews>
  <sheetFormatPr defaultRowHeight="14.5" x14ac:dyDescent="0.35"/>
  <cols>
    <col min="1" max="1" width="52" customWidth="1"/>
    <col min="2" max="2" width="26" customWidth="1"/>
    <col min="3" max="3" width="44" customWidth="1"/>
  </cols>
  <sheetData>
    <row r="1" spans="1:3" ht="30" customHeight="1" x14ac:dyDescent="0.35">
      <c r="A1" s="92" t="s">
        <v>0</v>
      </c>
      <c r="B1" s="93"/>
      <c r="C1" s="93"/>
    </row>
    <row r="2" spans="1:3" x14ac:dyDescent="0.35">
      <c r="A2" s="1" t="s">
        <v>1</v>
      </c>
      <c r="B2" s="2" t="s">
        <v>2</v>
      </c>
      <c r="C2" s="3" t="s">
        <v>3</v>
      </c>
    </row>
    <row r="4" spans="1:3" ht="16" customHeight="1" x14ac:dyDescent="0.35">
      <c r="A4" s="4" t="s">
        <v>4</v>
      </c>
      <c r="B4" s="5"/>
      <c r="C4" s="5"/>
    </row>
    <row r="5" spans="1:3" x14ac:dyDescent="0.35">
      <c r="A5" s="6" t="s">
        <v>5</v>
      </c>
      <c r="B5" s="7" t="s">
        <v>6</v>
      </c>
    </row>
    <row r="6" spans="1:3" x14ac:dyDescent="0.35">
      <c r="A6" s="6" t="s">
        <v>7</v>
      </c>
      <c r="B6" s="8">
        <v>45658</v>
      </c>
      <c r="C6" s="9" t="s">
        <v>8</v>
      </c>
    </row>
    <row r="7" spans="1:3" x14ac:dyDescent="0.35">
      <c r="A7" s="6" t="s">
        <v>9</v>
      </c>
      <c r="B7" s="10">
        <v>48</v>
      </c>
      <c r="C7" s="9" t="s">
        <v>10</v>
      </c>
    </row>
    <row r="8" spans="1:3" x14ac:dyDescent="0.35">
      <c r="A8" s="6" t="s">
        <v>11</v>
      </c>
      <c r="B8" s="10">
        <v>12</v>
      </c>
      <c r="C8" s="9" t="s">
        <v>12</v>
      </c>
    </row>
    <row r="9" spans="1:3" ht="16" customHeight="1" x14ac:dyDescent="0.35">
      <c r="A9" s="4" t="s">
        <v>13</v>
      </c>
      <c r="B9" s="5"/>
      <c r="C9" s="5"/>
    </row>
    <row r="11" spans="1:3" x14ac:dyDescent="0.35">
      <c r="A11" s="6" t="s">
        <v>14</v>
      </c>
      <c r="B11" s="11">
        <v>0.16</v>
      </c>
      <c r="C11" s="9" t="s">
        <v>15</v>
      </c>
    </row>
    <row r="12" spans="1:3" x14ac:dyDescent="0.35">
      <c r="A12" s="6" t="s">
        <v>16</v>
      </c>
      <c r="B12" s="11">
        <v>0.25</v>
      </c>
      <c r="C12" s="9" t="s">
        <v>17</v>
      </c>
    </row>
    <row r="13" spans="1:3" x14ac:dyDescent="0.35">
      <c r="A13" s="6" t="s">
        <v>18</v>
      </c>
      <c r="B13" s="11">
        <v>0.22</v>
      </c>
      <c r="C13" s="9" t="s">
        <v>19</v>
      </c>
    </row>
    <row r="14" spans="1:3" ht="16" customHeight="1" x14ac:dyDescent="0.35">
      <c r="A14" s="4" t="s">
        <v>20</v>
      </c>
      <c r="B14" s="5"/>
      <c r="C14" s="5"/>
    </row>
    <row r="16" spans="1:3" x14ac:dyDescent="0.35">
      <c r="A16" s="6" t="s">
        <v>21</v>
      </c>
      <c r="B16" s="10">
        <v>60000</v>
      </c>
    </row>
    <row r="17" spans="1:3" x14ac:dyDescent="0.35">
      <c r="A17" s="6" t="s">
        <v>22</v>
      </c>
      <c r="B17" s="11">
        <v>0.8</v>
      </c>
      <c r="C17" s="9" t="s">
        <v>23</v>
      </c>
    </row>
    <row r="18" spans="1:3" x14ac:dyDescent="0.35">
      <c r="A18" s="6" t="s">
        <v>24</v>
      </c>
      <c r="B18" s="12">
        <f>НАСТРОЙКИ!$B$16*НАСТРОЙКИ!$B$17</f>
        <v>48000</v>
      </c>
      <c r="C18" s="9" t="s">
        <v>25</v>
      </c>
    </row>
    <row r="19" spans="1:3" x14ac:dyDescent="0.35">
      <c r="A19" s="6" t="s">
        <v>26</v>
      </c>
      <c r="B19" s="11">
        <v>0.19</v>
      </c>
      <c r="C19" s="9" t="s">
        <v>27</v>
      </c>
    </row>
    <row r="20" spans="1:3" x14ac:dyDescent="0.35">
      <c r="A20" s="6" t="s">
        <v>28</v>
      </c>
      <c r="B20" s="10">
        <v>30</v>
      </c>
    </row>
    <row r="21" spans="1:3" x14ac:dyDescent="0.35">
      <c r="A21" s="6" t="s">
        <v>29</v>
      </c>
      <c r="B21" s="10">
        <v>6</v>
      </c>
      <c r="C21" s="9" t="s">
        <v>30</v>
      </c>
    </row>
    <row r="22" spans="1:3" ht="16" customHeight="1" x14ac:dyDescent="0.35">
      <c r="A22" s="4" t="s">
        <v>31</v>
      </c>
      <c r="B22" s="5"/>
      <c r="C22" s="5"/>
    </row>
    <row r="24" spans="1:3" x14ac:dyDescent="0.35">
      <c r="A24" s="6" t="s">
        <v>32</v>
      </c>
      <c r="B24" s="10">
        <v>32000</v>
      </c>
      <c r="C24" s="9" t="s">
        <v>33</v>
      </c>
    </row>
    <row r="25" spans="1:3" x14ac:dyDescent="0.35">
      <c r="A25" s="6" t="s">
        <v>34</v>
      </c>
      <c r="B25" s="11">
        <v>0.125</v>
      </c>
      <c r="C25" s="9" t="s">
        <v>35</v>
      </c>
    </row>
    <row r="26" spans="1:3" x14ac:dyDescent="0.35">
      <c r="A26" s="6" t="s">
        <v>36</v>
      </c>
      <c r="B26" s="13">
        <f>НАСТРОЙКИ!$B$24*НАСТРОЙКИ!$B$25/12</f>
        <v>333.33333333333331</v>
      </c>
      <c r="C26" s="9" t="s">
        <v>37</v>
      </c>
    </row>
    <row r="27" spans="1:3" ht="16" customHeight="1" x14ac:dyDescent="0.35">
      <c r="A27" s="4" t="s">
        <v>38</v>
      </c>
      <c r="B27" s="5"/>
      <c r="C27" s="5"/>
    </row>
    <row r="29" spans="1:3" x14ac:dyDescent="0.35">
      <c r="A29" s="6" t="s">
        <v>39</v>
      </c>
      <c r="B29" s="10">
        <v>21</v>
      </c>
      <c r="C29" s="9" t="s">
        <v>40</v>
      </c>
    </row>
    <row r="30" spans="1:3" x14ac:dyDescent="0.35">
      <c r="A30" s="6" t="s">
        <v>41</v>
      </c>
      <c r="B30" s="10">
        <v>45</v>
      </c>
      <c r="C30" s="9" t="s">
        <v>42</v>
      </c>
    </row>
    <row r="31" spans="1:3" x14ac:dyDescent="0.35">
      <c r="A31" s="6" t="s">
        <v>43</v>
      </c>
      <c r="B31" s="10">
        <v>30</v>
      </c>
      <c r="C31" s="9" t="s">
        <v>44</v>
      </c>
    </row>
    <row r="32" spans="1:3" ht="16" customHeight="1" x14ac:dyDescent="0.35">
      <c r="A32" s="4" t="s">
        <v>45</v>
      </c>
      <c r="B32" s="5"/>
      <c r="C32" s="5"/>
    </row>
    <row r="34" spans="1:3" x14ac:dyDescent="0.35">
      <c r="A34" s="6" t="s">
        <v>46</v>
      </c>
      <c r="B34" s="11">
        <v>0.42</v>
      </c>
      <c r="C34" s="9" t="s">
        <v>47</v>
      </c>
    </row>
    <row r="35" spans="1:3" ht="16" customHeight="1" x14ac:dyDescent="0.35">
      <c r="A35" s="4" t="s">
        <v>48</v>
      </c>
      <c r="B35" s="5"/>
      <c r="C35" s="5"/>
    </row>
    <row r="37" spans="1:3" x14ac:dyDescent="0.35">
      <c r="A37" s="6" t="s">
        <v>49</v>
      </c>
      <c r="B37" s="14">
        <f>WACC!$B$25</f>
        <v>0.18420500000000001</v>
      </c>
      <c r="C37" s="9" t="s">
        <v>50</v>
      </c>
    </row>
    <row r="38" spans="1:3" ht="16" customHeight="1" x14ac:dyDescent="0.35">
      <c r="A38" s="4" t="s">
        <v>51</v>
      </c>
      <c r="B38" s="5"/>
      <c r="C38" s="5"/>
    </row>
    <row r="40" spans="1:3" x14ac:dyDescent="0.35">
      <c r="A40" s="15" t="s">
        <v>52</v>
      </c>
      <c r="B40" s="16">
        <v>-45.63</v>
      </c>
      <c r="C40" s="9" t="s">
        <v>53</v>
      </c>
    </row>
    <row r="41" spans="1:3" x14ac:dyDescent="0.35">
      <c r="A41" s="15" t="s">
        <v>54</v>
      </c>
      <c r="B41" s="16">
        <v>16.48</v>
      </c>
      <c r="C41" s="9" t="s">
        <v>53</v>
      </c>
    </row>
    <row r="42" spans="1:3" x14ac:dyDescent="0.35">
      <c r="A42" s="15" t="s">
        <v>55</v>
      </c>
      <c r="B42" s="16">
        <v>301.52999999999997</v>
      </c>
      <c r="C42" s="9" t="s">
        <v>53</v>
      </c>
    </row>
    <row r="43" spans="1:3" x14ac:dyDescent="0.35">
      <c r="A43" s="15" t="s">
        <v>56</v>
      </c>
      <c r="B43" s="16">
        <v>145.83000000000001</v>
      </c>
      <c r="C43" s="9" t="s">
        <v>53</v>
      </c>
    </row>
    <row r="44" spans="1:3" x14ac:dyDescent="0.35">
      <c r="A44" s="15" t="s">
        <v>57</v>
      </c>
      <c r="B44" s="16">
        <v>115.25</v>
      </c>
      <c r="C44" s="9" t="s">
        <v>53</v>
      </c>
    </row>
    <row r="45" spans="1:3" x14ac:dyDescent="0.35">
      <c r="A45" s="15" t="s">
        <v>58</v>
      </c>
      <c r="B45" s="16">
        <v>149.99</v>
      </c>
      <c r="C45" s="9" t="s">
        <v>53</v>
      </c>
    </row>
    <row r="46" spans="1:3" x14ac:dyDescent="0.35">
      <c r="A46" s="15" t="s">
        <v>59</v>
      </c>
      <c r="B46" s="16">
        <v>292.85000000000002</v>
      </c>
      <c r="C46" s="9" t="s">
        <v>53</v>
      </c>
    </row>
    <row r="47" spans="1:3" x14ac:dyDescent="0.35">
      <c r="A47" s="15" t="s">
        <v>60</v>
      </c>
      <c r="B47" s="16">
        <v>24.91</v>
      </c>
      <c r="C47" s="9" t="s">
        <v>53</v>
      </c>
    </row>
    <row r="48" spans="1:3" x14ac:dyDescent="0.35">
      <c r="A48" s="15" t="s">
        <v>61</v>
      </c>
      <c r="B48" s="16">
        <v>68.39</v>
      </c>
      <c r="C48" s="9" t="s">
        <v>53</v>
      </c>
    </row>
    <row r="49" spans="1:3" x14ac:dyDescent="0.35">
      <c r="A49" s="15" t="s">
        <v>62</v>
      </c>
      <c r="B49" s="16">
        <v>88655.62</v>
      </c>
      <c r="C49" s="9" t="s">
        <v>53</v>
      </c>
    </row>
    <row r="50" spans="1:3" x14ac:dyDescent="0.35">
      <c r="A50" s="15" t="s">
        <v>63</v>
      </c>
      <c r="B50" s="16">
        <v>229777190</v>
      </c>
      <c r="C50" s="9" t="s">
        <v>53</v>
      </c>
    </row>
    <row r="51" spans="1:3" x14ac:dyDescent="0.35">
      <c r="A51" s="15" t="s">
        <v>64</v>
      </c>
      <c r="B51" s="16">
        <v>44.83</v>
      </c>
      <c r="C51" s="9" t="s">
        <v>53</v>
      </c>
    </row>
    <row r="52" spans="1:3" x14ac:dyDescent="0.35">
      <c r="A52" s="15" t="s">
        <v>65</v>
      </c>
      <c r="B52" s="16">
        <v>19.010000000000002</v>
      </c>
      <c r="C52" s="9" t="s">
        <v>53</v>
      </c>
    </row>
    <row r="53" spans="1:3" x14ac:dyDescent="0.35">
      <c r="A53" s="15" t="s">
        <v>66</v>
      </c>
      <c r="B53" s="16">
        <v>66.2</v>
      </c>
      <c r="C53" s="9" t="s">
        <v>53</v>
      </c>
    </row>
    <row r="54" spans="1:3" x14ac:dyDescent="0.35">
      <c r="A54" s="15" t="s">
        <v>67</v>
      </c>
      <c r="B54" s="16">
        <v>352.96</v>
      </c>
      <c r="C54" s="9" t="s">
        <v>53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AY33"/>
  <sheetViews>
    <sheetView workbookViewId="0">
      <pane xSplit="3" ySplit="5" topLeftCell="D20" activePane="bottomRight" state="frozen"/>
      <selection pane="topRight"/>
      <selection pane="bottomLeft"/>
      <selection pane="bottomRight" activeCell="D8" sqref="D8"/>
    </sheetView>
  </sheetViews>
  <sheetFormatPr defaultRowHeight="14.5" x14ac:dyDescent="0.35"/>
  <cols>
    <col min="1" max="1" width="38" customWidth="1"/>
    <col min="2" max="2" width="12" customWidth="1"/>
    <col min="3" max="3" width="14" customWidth="1"/>
    <col min="4" max="51" width="10.453125" customWidth="1"/>
  </cols>
  <sheetData>
    <row r="1" spans="1:51" ht="26" customHeight="1" x14ac:dyDescent="0.35">
      <c r="A1" s="94" t="s">
        <v>68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</row>
    <row r="2" spans="1:51" x14ac:dyDescent="0.35">
      <c r="A2" s="9" t="s">
        <v>69</v>
      </c>
    </row>
    <row r="3" spans="1:51" x14ac:dyDescent="0.35">
      <c r="A3" s="17" t="s">
        <v>70</v>
      </c>
      <c r="B3" s="18" t="s">
        <v>71</v>
      </c>
      <c r="C3" s="18" t="s">
        <v>72</v>
      </c>
    </row>
    <row r="4" spans="1:51" x14ac:dyDescent="0.35">
      <c r="A4" s="19"/>
      <c r="B4" s="19"/>
      <c r="C4" s="20" t="s">
        <v>72</v>
      </c>
      <c r="D4" s="21">
        <v>45658</v>
      </c>
      <c r="E4" s="21">
        <v>45689</v>
      </c>
      <c r="F4" s="21">
        <v>45717</v>
      </c>
      <c r="G4" s="21">
        <v>45748</v>
      </c>
      <c r="H4" s="21">
        <v>45778</v>
      </c>
      <c r="I4" s="21">
        <v>45809</v>
      </c>
      <c r="J4" s="21">
        <v>45839</v>
      </c>
      <c r="K4" s="21">
        <v>45870</v>
      </c>
      <c r="L4" s="21">
        <v>45901</v>
      </c>
      <c r="M4" s="21">
        <v>45931</v>
      </c>
      <c r="N4" s="21">
        <v>45962</v>
      </c>
      <c r="O4" s="21">
        <v>45992</v>
      </c>
      <c r="P4" s="22">
        <v>46023</v>
      </c>
      <c r="Q4" s="22">
        <v>46054</v>
      </c>
      <c r="R4" s="22">
        <v>46082</v>
      </c>
      <c r="S4" s="22">
        <v>46113</v>
      </c>
      <c r="T4" s="22">
        <v>46143</v>
      </c>
      <c r="U4" s="22">
        <v>46174</v>
      </c>
      <c r="V4" s="22">
        <v>46204</v>
      </c>
      <c r="W4" s="22">
        <v>46235</v>
      </c>
      <c r="X4" s="22">
        <v>46266</v>
      </c>
      <c r="Y4" s="22">
        <v>46296</v>
      </c>
      <c r="Z4" s="22">
        <v>46327</v>
      </c>
      <c r="AA4" s="22">
        <v>46357</v>
      </c>
      <c r="AB4" s="22">
        <v>46388</v>
      </c>
      <c r="AC4" s="22">
        <v>46419</v>
      </c>
      <c r="AD4" s="22">
        <v>46447</v>
      </c>
      <c r="AE4" s="22">
        <v>46478</v>
      </c>
      <c r="AF4" s="22">
        <v>46508</v>
      </c>
      <c r="AG4" s="22">
        <v>46539</v>
      </c>
      <c r="AH4" s="22">
        <v>46569</v>
      </c>
      <c r="AI4" s="22">
        <v>46600</v>
      </c>
      <c r="AJ4" s="22">
        <v>46631</v>
      </c>
      <c r="AK4" s="22">
        <v>46661</v>
      </c>
      <c r="AL4" s="22">
        <v>46692</v>
      </c>
      <c r="AM4" s="22">
        <v>46722</v>
      </c>
      <c r="AN4" s="22">
        <v>46753</v>
      </c>
      <c r="AO4" s="22">
        <v>46784</v>
      </c>
      <c r="AP4" s="22">
        <v>46813</v>
      </c>
      <c r="AQ4" s="22">
        <v>46844</v>
      </c>
      <c r="AR4" s="22">
        <v>46874</v>
      </c>
      <c r="AS4" s="22">
        <v>46905</v>
      </c>
      <c r="AT4" s="22">
        <v>46935</v>
      </c>
      <c r="AU4" s="22">
        <v>46966</v>
      </c>
      <c r="AV4" s="22">
        <v>46997</v>
      </c>
      <c r="AW4" s="22">
        <v>47027</v>
      </c>
      <c r="AX4" s="22">
        <v>47058</v>
      </c>
      <c r="AY4" s="22">
        <v>47088</v>
      </c>
    </row>
    <row r="5" spans="1:51" x14ac:dyDescent="0.35">
      <c r="A5" s="19"/>
      <c r="B5" s="19"/>
      <c r="C5" s="19"/>
      <c r="D5" s="23">
        <v>1</v>
      </c>
      <c r="E5" s="23">
        <v>2</v>
      </c>
      <c r="F5" s="23">
        <v>3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  <c r="N5" s="23">
        <v>11</v>
      </c>
      <c r="O5" s="23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4">
        <v>24</v>
      </c>
      <c r="AB5" s="24">
        <v>25</v>
      </c>
      <c r="AC5" s="24">
        <v>26</v>
      </c>
      <c r="AD5" s="24">
        <v>27</v>
      </c>
      <c r="AE5" s="24">
        <v>28</v>
      </c>
      <c r="AF5" s="24">
        <v>29</v>
      </c>
      <c r="AG5" s="24">
        <v>30</v>
      </c>
      <c r="AH5" s="24">
        <v>31</v>
      </c>
      <c r="AI5" s="24">
        <v>32</v>
      </c>
      <c r="AJ5" s="24">
        <v>33</v>
      </c>
      <c r="AK5" s="24">
        <v>34</v>
      </c>
      <c r="AL5" s="24">
        <v>35</v>
      </c>
      <c r="AM5" s="24">
        <v>36</v>
      </c>
      <c r="AN5" s="24">
        <v>37</v>
      </c>
      <c r="AO5" s="24">
        <v>38</v>
      </c>
      <c r="AP5" s="24">
        <v>39</v>
      </c>
      <c r="AQ5" s="24">
        <v>40</v>
      </c>
      <c r="AR5" s="24">
        <v>41</v>
      </c>
      <c r="AS5" s="24">
        <v>42</v>
      </c>
      <c r="AT5" s="24">
        <v>43</v>
      </c>
      <c r="AU5" s="24">
        <v>44</v>
      </c>
      <c r="AV5" s="24">
        <v>45</v>
      </c>
      <c r="AW5" s="24">
        <v>46</v>
      </c>
      <c r="AX5" s="24">
        <v>47</v>
      </c>
      <c r="AY5" s="24">
        <v>48</v>
      </c>
    </row>
    <row r="6" spans="1:51" ht="16" customHeight="1" x14ac:dyDescent="0.35">
      <c r="A6" s="4" t="s">
        <v>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x14ac:dyDescent="0.35">
      <c r="A7" s="25" t="s">
        <v>74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51" x14ac:dyDescent="0.35">
      <c r="A8" s="27" t="s">
        <v>75</v>
      </c>
      <c r="B8" s="28" t="s">
        <v>76</v>
      </c>
      <c r="C8" s="29">
        <f>SUM($D$8:$AY$8)</f>
        <v>452746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1">
        <v>661</v>
      </c>
      <c r="Q8" s="31">
        <v>1322</v>
      </c>
      <c r="R8" s="31">
        <v>1983</v>
      </c>
      <c r="S8" s="31">
        <v>2643</v>
      </c>
      <c r="T8" s="31">
        <v>3304</v>
      </c>
      <c r="U8" s="31">
        <v>3965</v>
      </c>
      <c r="V8" s="31">
        <v>4626</v>
      </c>
      <c r="W8" s="31">
        <v>5287</v>
      </c>
      <c r="X8" s="31">
        <v>5948</v>
      </c>
      <c r="Y8" s="31">
        <v>6609</v>
      </c>
      <c r="Z8" s="31">
        <v>7269</v>
      </c>
      <c r="AA8" s="31">
        <v>7930</v>
      </c>
      <c r="AB8" s="31">
        <v>8624</v>
      </c>
      <c r="AC8" s="31">
        <v>9318</v>
      </c>
      <c r="AD8" s="31">
        <v>10012</v>
      </c>
      <c r="AE8" s="31">
        <v>10706</v>
      </c>
      <c r="AF8" s="31">
        <v>11400</v>
      </c>
      <c r="AG8" s="31">
        <v>12094</v>
      </c>
      <c r="AH8" s="31">
        <v>12787</v>
      </c>
      <c r="AI8" s="31">
        <v>13481</v>
      </c>
      <c r="AJ8" s="31">
        <v>14175</v>
      </c>
      <c r="AK8" s="31">
        <v>14869</v>
      </c>
      <c r="AL8" s="31">
        <v>15563</v>
      </c>
      <c r="AM8" s="31">
        <v>16257</v>
      </c>
      <c r="AN8" s="31">
        <v>16986</v>
      </c>
      <c r="AO8" s="31">
        <v>17714</v>
      </c>
      <c r="AP8" s="31">
        <v>18443</v>
      </c>
      <c r="AQ8" s="31">
        <v>19171</v>
      </c>
      <c r="AR8" s="31">
        <v>19900</v>
      </c>
      <c r="AS8" s="31">
        <v>20628</v>
      </c>
      <c r="AT8" s="31">
        <v>21357</v>
      </c>
      <c r="AU8" s="31">
        <v>22086</v>
      </c>
      <c r="AV8" s="31">
        <v>22814</v>
      </c>
      <c r="AW8" s="31">
        <v>23543</v>
      </c>
      <c r="AX8" s="31">
        <v>24271</v>
      </c>
      <c r="AY8" s="31">
        <v>25000</v>
      </c>
    </row>
    <row r="9" spans="1:51" x14ac:dyDescent="0.35">
      <c r="A9" s="27" t="s">
        <v>77</v>
      </c>
      <c r="B9" s="28" t="s">
        <v>78</v>
      </c>
      <c r="C9" s="32" t="s">
        <v>79</v>
      </c>
      <c r="D9" s="33">
        <v>250</v>
      </c>
      <c r="E9" s="34">
        <f>D9*(1+НАСТРОЙКИ!$B$11/12)</f>
        <v>253.33333333333334</v>
      </c>
      <c r="F9" s="34">
        <f>E9*(1+НАСТРОЙКИ!$B$11/12)</f>
        <v>256.71111111111117</v>
      </c>
      <c r="G9" s="34">
        <f>F9*(1+НАСТРОЙКИ!$B$11/12)</f>
        <v>260.13392592592601</v>
      </c>
      <c r="H9" s="34">
        <f>G9*(1+НАСТРОЙКИ!$B$11/12)</f>
        <v>263.60237827160506</v>
      </c>
      <c r="I9" s="34">
        <f>H9*(1+НАСТРОЙКИ!$B$11/12)</f>
        <v>267.11707664855982</v>
      </c>
      <c r="J9" s="34">
        <f>I9*(1+НАСТРОЙКИ!$B$11/12)</f>
        <v>270.67863767054064</v>
      </c>
      <c r="K9" s="34">
        <f>J9*(1+НАСТРОЙКИ!$B$11/12)</f>
        <v>274.28768617281452</v>
      </c>
      <c r="L9" s="34">
        <f>K9*(1+НАСТРОЙКИ!$B$11/12)</f>
        <v>277.94485532178538</v>
      </c>
      <c r="M9" s="34">
        <f>L9*(1+НАСТРОЙКИ!$B$11/12)</f>
        <v>281.65078672607586</v>
      </c>
      <c r="N9" s="34">
        <f>M9*(1+НАСТРОЙКИ!$B$11/12)</f>
        <v>285.40613054909022</v>
      </c>
      <c r="O9" s="34">
        <f>N9*(1+НАСТРОЙКИ!$B$11/12)</f>
        <v>289.21154562307811</v>
      </c>
      <c r="P9" s="34">
        <f>O9*(1+НАСТРОЙКИ!$B$11/12)</f>
        <v>293.06769956471919</v>
      </c>
      <c r="Q9" s="34">
        <f>P9*(1+НАСТРОЙКИ!$B$11/12)</f>
        <v>296.97526889224878</v>
      </c>
      <c r="R9" s="34">
        <f>Q9*(1+НАСТРОЙКИ!$B$11/12)</f>
        <v>300.93493914414546</v>
      </c>
      <c r="S9" s="34">
        <f>R9*(1+НАСТРОЙКИ!$B$11/12)</f>
        <v>304.94740499940076</v>
      </c>
      <c r="T9" s="34">
        <f>S9*(1+НАСТРОЙКИ!$B$11/12)</f>
        <v>309.01337039939278</v>
      </c>
      <c r="U9" s="34">
        <f>T9*(1+НАСТРОЙКИ!$B$11/12)</f>
        <v>313.13354867138469</v>
      </c>
      <c r="V9" s="34">
        <f>U9*(1+НАСТРОЙКИ!$B$11/12)</f>
        <v>317.30866265366984</v>
      </c>
      <c r="W9" s="34">
        <f>V9*(1+НАСТРОЙКИ!$B$11/12)</f>
        <v>321.53944482238546</v>
      </c>
      <c r="X9" s="34">
        <f>W9*(1+НАСТРОЙКИ!$B$11/12)</f>
        <v>325.82663742001728</v>
      </c>
      <c r="Y9" s="34">
        <f>X9*(1+НАСТРОЙКИ!$B$11/12)</f>
        <v>330.17099258561751</v>
      </c>
      <c r="Z9" s="34">
        <f>Y9*(1+НАСТРОЙКИ!$B$11/12)</f>
        <v>334.57327248675909</v>
      </c>
      <c r="AA9" s="34">
        <f>Z9*(1+НАСТРОЙКИ!$B$11/12)</f>
        <v>339.03424945324923</v>
      </c>
      <c r="AB9" s="34">
        <f>AA9*(1+НАСТРОЙКИ!$B$11/12)</f>
        <v>343.55470611262592</v>
      </c>
      <c r="AC9" s="34">
        <f>AB9*(1+НАСТРОЙКИ!$B$11/12)</f>
        <v>348.13543552746097</v>
      </c>
      <c r="AD9" s="34">
        <f>AC9*(1+НАСТРОЙКИ!$B$11/12)</f>
        <v>352.77724133449379</v>
      </c>
      <c r="AE9" s="34">
        <f>AD9*(1+НАСТРОЙКИ!$B$11/12)</f>
        <v>357.48093788562039</v>
      </c>
      <c r="AF9" s="34">
        <f>AE9*(1+НАСТРОЙКИ!$B$11/12)</f>
        <v>362.24735039076205</v>
      </c>
      <c r="AG9" s="34">
        <f>AF9*(1+НАСТРОЙКИ!$B$11/12)</f>
        <v>367.07731506263889</v>
      </c>
      <c r="AH9" s="34">
        <f>AG9*(1+НАСТРОЙКИ!$B$11/12)</f>
        <v>371.97167926347413</v>
      </c>
      <c r="AI9" s="34">
        <f>AH9*(1+НАСТРОЙКИ!$B$11/12)</f>
        <v>376.9313016536538</v>
      </c>
      <c r="AJ9" s="34">
        <f>AI9*(1+НАСТРОЙКИ!$B$11/12)</f>
        <v>381.9570523423692</v>
      </c>
      <c r="AK9" s="34">
        <f>AJ9*(1+НАСТРОЙКИ!$B$11/12)</f>
        <v>387.04981304026751</v>
      </c>
      <c r="AL9" s="34">
        <f>AK9*(1+НАСТРОЙКИ!$B$11/12)</f>
        <v>392.21047721413777</v>
      </c>
      <c r="AM9" s="34">
        <f>AL9*(1+НАСТРОЙКИ!$B$11/12)</f>
        <v>397.43995024365967</v>
      </c>
      <c r="AN9" s="34">
        <f>AM9*(1+НАСТРОЙКИ!$B$11/12)</f>
        <v>402.73914958024181</v>
      </c>
      <c r="AO9" s="34">
        <f>AN9*(1+НАСТРОЙКИ!$B$11/12)</f>
        <v>408.10900490797843</v>
      </c>
      <c r="AP9" s="34">
        <f>AO9*(1+НАСТРОЙКИ!$B$11/12)</f>
        <v>413.55045830675152</v>
      </c>
      <c r="AQ9" s="34">
        <f>AP9*(1+НАСТРОЙКИ!$B$11/12)</f>
        <v>419.06446441750825</v>
      </c>
      <c r="AR9" s="34">
        <f>AQ9*(1+НАСТРОЙКИ!$B$11/12)</f>
        <v>424.65199060974174</v>
      </c>
      <c r="AS9" s="34">
        <f>AR9*(1+НАСТРОЙКИ!$B$11/12)</f>
        <v>430.31401715120501</v>
      </c>
      <c r="AT9" s="34">
        <f>AS9*(1+НАСТРОЙКИ!$B$11/12)</f>
        <v>436.0515373798878</v>
      </c>
      <c r="AU9" s="34">
        <f>AT9*(1+НАСТРОЙКИ!$B$11/12)</f>
        <v>441.86555787828632</v>
      </c>
      <c r="AV9" s="34">
        <f>AU9*(1+НАСТРОЙКИ!$B$11/12)</f>
        <v>447.75709864999686</v>
      </c>
      <c r="AW9" s="34">
        <f>AV9*(1+НАСТРОЙКИ!$B$11/12)</f>
        <v>453.72719329866351</v>
      </c>
      <c r="AX9" s="34">
        <f>AW9*(1+НАСТРОЙКИ!$B$11/12)</f>
        <v>459.7768892093124</v>
      </c>
      <c r="AY9" s="34">
        <f>AX9*(1+НАСТРОЙКИ!$B$11/12)</f>
        <v>465.90724773210326</v>
      </c>
    </row>
    <row r="10" spans="1:51" x14ac:dyDescent="0.35">
      <c r="A10" s="35" t="s">
        <v>80</v>
      </c>
      <c r="B10" s="28" t="s">
        <v>81</v>
      </c>
      <c r="C10" s="36">
        <f>SUM($D$10:$AY$10)</f>
        <v>182201.57556695974</v>
      </c>
      <c r="D10" s="29">
        <f t="shared" ref="D10:AY10" si="0">D8*D9/1000</f>
        <v>0</v>
      </c>
      <c r="E10" s="29">
        <f t="shared" si="0"/>
        <v>0</v>
      </c>
      <c r="F10" s="29">
        <f t="shared" si="0"/>
        <v>0</v>
      </c>
      <c r="G10" s="29">
        <f t="shared" si="0"/>
        <v>0</v>
      </c>
      <c r="H10" s="29">
        <f t="shared" si="0"/>
        <v>0</v>
      </c>
      <c r="I10" s="29">
        <f t="shared" si="0"/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 t="shared" si="0"/>
        <v>0</v>
      </c>
      <c r="O10" s="29">
        <f t="shared" si="0"/>
        <v>0</v>
      </c>
      <c r="P10" s="29">
        <f t="shared" si="0"/>
        <v>193.71774941227937</v>
      </c>
      <c r="Q10" s="29">
        <f t="shared" si="0"/>
        <v>392.60130547555286</v>
      </c>
      <c r="R10" s="29">
        <f t="shared" si="0"/>
        <v>596.75398432284044</v>
      </c>
      <c r="S10" s="29">
        <f t="shared" si="0"/>
        <v>805.97599141341618</v>
      </c>
      <c r="T10" s="29">
        <f t="shared" si="0"/>
        <v>1020.9801757995938</v>
      </c>
      <c r="U10" s="29">
        <f t="shared" si="0"/>
        <v>1241.5745204820403</v>
      </c>
      <c r="V10" s="29">
        <f t="shared" si="0"/>
        <v>1467.8698734358768</v>
      </c>
      <c r="W10" s="29">
        <f t="shared" si="0"/>
        <v>1699.9790447759519</v>
      </c>
      <c r="X10" s="29">
        <f t="shared" si="0"/>
        <v>1938.0168393742629</v>
      </c>
      <c r="Y10" s="29">
        <f t="shared" si="0"/>
        <v>2182.1000899983464</v>
      </c>
      <c r="Z10" s="29">
        <f t="shared" si="0"/>
        <v>2432.0131177062517</v>
      </c>
      <c r="AA10" s="29">
        <f t="shared" si="0"/>
        <v>2688.5415981642664</v>
      </c>
      <c r="AB10" s="29">
        <f t="shared" si="0"/>
        <v>2962.8157855152858</v>
      </c>
      <c r="AC10" s="29">
        <f t="shared" si="0"/>
        <v>3243.9259882448814</v>
      </c>
      <c r="AD10" s="29">
        <f t="shared" si="0"/>
        <v>3532.005740240952</v>
      </c>
      <c r="AE10" s="29">
        <f t="shared" si="0"/>
        <v>3827.1909210034519</v>
      </c>
      <c r="AF10" s="29">
        <f t="shared" si="0"/>
        <v>4129.6197944546875</v>
      </c>
      <c r="AG10" s="29">
        <f t="shared" si="0"/>
        <v>4439.433048367554</v>
      </c>
      <c r="AH10" s="29">
        <f t="shared" si="0"/>
        <v>4756.4018627420437</v>
      </c>
      <c r="AI10" s="29">
        <f t="shared" si="0"/>
        <v>5081.4108775929071</v>
      </c>
      <c r="AJ10" s="29">
        <f t="shared" si="0"/>
        <v>5414.2412169530826</v>
      </c>
      <c r="AK10" s="29">
        <f t="shared" si="0"/>
        <v>5755.043670095738</v>
      </c>
      <c r="AL10" s="29">
        <f t="shared" si="0"/>
        <v>6103.9716568836266</v>
      </c>
      <c r="AM10" s="29">
        <f t="shared" si="0"/>
        <v>6461.1812711111752</v>
      </c>
      <c r="AN10" s="29">
        <f t="shared" si="0"/>
        <v>6840.9271947699881</v>
      </c>
      <c r="AO10" s="29">
        <f t="shared" si="0"/>
        <v>7229.2429129399306</v>
      </c>
      <c r="AP10" s="29">
        <f t="shared" si="0"/>
        <v>7627.1111025514183</v>
      </c>
      <c r="AQ10" s="29">
        <f t="shared" si="0"/>
        <v>8033.8848473480502</v>
      </c>
      <c r="AR10" s="29">
        <f t="shared" si="0"/>
        <v>8450.5746131338601</v>
      </c>
      <c r="AS10" s="29">
        <f t="shared" si="0"/>
        <v>8876.5175457950572</v>
      </c>
      <c r="AT10" s="29">
        <f t="shared" si="0"/>
        <v>9312.7526838222639</v>
      </c>
      <c r="AU10" s="29">
        <f t="shared" si="0"/>
        <v>9759.0427112998314</v>
      </c>
      <c r="AV10" s="29">
        <f t="shared" si="0"/>
        <v>10215.130448601029</v>
      </c>
      <c r="AW10" s="29">
        <f t="shared" si="0"/>
        <v>10682.099311830434</v>
      </c>
      <c r="AX10" s="29">
        <f t="shared" si="0"/>
        <v>11159.244877999223</v>
      </c>
      <c r="AY10" s="29">
        <f t="shared" si="0"/>
        <v>11647.681193302582</v>
      </c>
    </row>
    <row r="11" spans="1:51" x14ac:dyDescent="0.35">
      <c r="A11" s="25" t="s">
        <v>82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x14ac:dyDescent="0.35">
      <c r="A12" s="27" t="s">
        <v>75</v>
      </c>
      <c r="B12" s="28" t="s">
        <v>76</v>
      </c>
      <c r="C12" s="29">
        <f>SUM($D$12:$AY$12)</f>
        <v>271648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1">
        <v>397</v>
      </c>
      <c r="Q12" s="31">
        <v>793</v>
      </c>
      <c r="R12" s="31">
        <v>1190</v>
      </c>
      <c r="S12" s="31">
        <v>1586</v>
      </c>
      <c r="T12" s="31">
        <v>1983</v>
      </c>
      <c r="U12" s="31">
        <v>2379</v>
      </c>
      <c r="V12" s="31">
        <v>2776</v>
      </c>
      <c r="W12" s="31">
        <v>3172</v>
      </c>
      <c r="X12" s="31">
        <v>3569</v>
      </c>
      <c r="Y12" s="31">
        <v>3965</v>
      </c>
      <c r="Z12" s="31">
        <v>4362</v>
      </c>
      <c r="AA12" s="31">
        <v>4758</v>
      </c>
      <c r="AB12" s="31">
        <v>5174</v>
      </c>
      <c r="AC12" s="31">
        <v>5591</v>
      </c>
      <c r="AD12" s="31">
        <v>6007</v>
      </c>
      <c r="AE12" s="31">
        <v>6423</v>
      </c>
      <c r="AF12" s="31">
        <v>6840</v>
      </c>
      <c r="AG12" s="31">
        <v>7256</v>
      </c>
      <c r="AH12" s="31">
        <v>7672</v>
      </c>
      <c r="AI12" s="31">
        <v>8089</v>
      </c>
      <c r="AJ12" s="31">
        <v>8505</v>
      </c>
      <c r="AK12" s="31">
        <v>8921</v>
      </c>
      <c r="AL12" s="31">
        <v>9338</v>
      </c>
      <c r="AM12" s="31">
        <v>9754</v>
      </c>
      <c r="AN12" s="31">
        <v>10191</v>
      </c>
      <c r="AO12" s="31">
        <v>10628</v>
      </c>
      <c r="AP12" s="31">
        <v>11066</v>
      </c>
      <c r="AQ12" s="31">
        <v>11503</v>
      </c>
      <c r="AR12" s="31">
        <v>11940</v>
      </c>
      <c r="AS12" s="31">
        <v>12377</v>
      </c>
      <c r="AT12" s="31">
        <v>12814</v>
      </c>
      <c r="AU12" s="31">
        <v>13251</v>
      </c>
      <c r="AV12" s="31">
        <v>13689</v>
      </c>
      <c r="AW12" s="31">
        <v>14126</v>
      </c>
      <c r="AX12" s="31">
        <v>14563</v>
      </c>
      <c r="AY12" s="31">
        <v>15000</v>
      </c>
    </row>
    <row r="13" spans="1:51" x14ac:dyDescent="0.35">
      <c r="A13" s="27" t="s">
        <v>77</v>
      </c>
      <c r="B13" s="28" t="s">
        <v>78</v>
      </c>
      <c r="C13" s="32" t="s">
        <v>79</v>
      </c>
      <c r="D13" s="33">
        <v>195</v>
      </c>
      <c r="E13" s="34">
        <f>D13*(1+НАСТРОЙКИ!$B$11/12)</f>
        <v>197.60000000000002</v>
      </c>
      <c r="F13" s="34">
        <f>E13*(1+НАСТРОЙКИ!$B$11/12)</f>
        <v>200.2346666666667</v>
      </c>
      <c r="G13" s="34">
        <f>F13*(1+НАСТРОЙКИ!$B$11/12)</f>
        <v>202.90446222222226</v>
      </c>
      <c r="H13" s="34">
        <f>G13*(1+НАСТРОЙКИ!$B$11/12)</f>
        <v>205.60985505185192</v>
      </c>
      <c r="I13" s="34">
        <f>H13*(1+НАСТРОЙКИ!$B$11/12)</f>
        <v>208.35131978587663</v>
      </c>
      <c r="J13" s="34">
        <f>I13*(1+НАСТРОЙКИ!$B$11/12)</f>
        <v>211.12933738302166</v>
      </c>
      <c r="K13" s="34">
        <f>J13*(1+НАСТРОЙКИ!$B$11/12)</f>
        <v>213.94439521479529</v>
      </c>
      <c r="L13" s="34">
        <f>K13*(1+НАСТРОЙКИ!$B$11/12)</f>
        <v>216.79698715099258</v>
      </c>
      <c r="M13" s="34">
        <f>L13*(1+НАСТРОЙКИ!$B$11/12)</f>
        <v>219.68761364633917</v>
      </c>
      <c r="N13" s="34">
        <f>M13*(1+НАСТРОЙКИ!$B$11/12)</f>
        <v>222.61678182829039</v>
      </c>
      <c r="O13" s="34">
        <f>N13*(1+НАСТРОЙКИ!$B$11/12)</f>
        <v>225.58500558600093</v>
      </c>
      <c r="P13" s="34">
        <f>O13*(1+НАСТРОЙКИ!$B$11/12)</f>
        <v>228.59280566048096</v>
      </c>
      <c r="Q13" s="34">
        <f>P13*(1+НАСТРОЙКИ!$B$11/12)</f>
        <v>231.64070973595406</v>
      </c>
      <c r="R13" s="34">
        <f>Q13*(1+НАСТРОЙКИ!$B$11/12)</f>
        <v>234.72925253243346</v>
      </c>
      <c r="S13" s="34">
        <f>R13*(1+НАСТРОЙКИ!$B$11/12)</f>
        <v>237.8589758995326</v>
      </c>
      <c r="T13" s="34">
        <f>S13*(1+НАСТРОЙКИ!$B$11/12)</f>
        <v>241.03042891152637</v>
      </c>
      <c r="U13" s="34">
        <f>T13*(1+НАСТРОЙКИ!$B$11/12)</f>
        <v>244.24416796368007</v>
      </c>
      <c r="V13" s="34">
        <f>U13*(1+НАСТРОЙКИ!$B$11/12)</f>
        <v>247.5007568698625</v>
      </c>
      <c r="W13" s="34">
        <f>V13*(1+НАСТРОЙКИ!$B$11/12)</f>
        <v>250.80076696146068</v>
      </c>
      <c r="X13" s="34">
        <f>W13*(1+НАСТРОЙКИ!$B$11/12)</f>
        <v>254.1447771876135</v>
      </c>
      <c r="Y13" s="34">
        <f>X13*(1+НАСТРОЙКИ!$B$11/12)</f>
        <v>257.53337421678168</v>
      </c>
      <c r="Z13" s="34">
        <f>Y13*(1+НАСТРОЙКИ!$B$11/12)</f>
        <v>260.9671525396721</v>
      </c>
      <c r="AA13" s="34">
        <f>Z13*(1+НАСТРОЙКИ!$B$11/12)</f>
        <v>264.44671457353439</v>
      </c>
      <c r="AB13" s="34">
        <f>AA13*(1+НАСТРОЙКИ!$B$11/12)</f>
        <v>267.97267076784823</v>
      </c>
      <c r="AC13" s="34">
        <f>AB13*(1+НАСТРОЙКИ!$B$11/12)</f>
        <v>271.54563971141954</v>
      </c>
      <c r="AD13" s="34">
        <f>AC13*(1+НАСТРОЙКИ!$B$11/12)</f>
        <v>275.16624824090513</v>
      </c>
      <c r="AE13" s="34">
        <f>AD13*(1+НАСТРОЙКИ!$B$11/12)</f>
        <v>278.8351315507839</v>
      </c>
      <c r="AF13" s="34">
        <f>AE13*(1+НАСТРОЙКИ!$B$11/12)</f>
        <v>282.55293330479435</v>
      </c>
      <c r="AG13" s="34">
        <f>AF13*(1+НАСТРОЙКИ!$B$11/12)</f>
        <v>286.32030574885829</v>
      </c>
      <c r="AH13" s="34">
        <f>AG13*(1+НАСТРОЙКИ!$B$11/12)</f>
        <v>290.13790982550978</v>
      </c>
      <c r="AI13" s="34">
        <f>AH13*(1+НАСТРОЙКИ!$B$11/12)</f>
        <v>294.00641528984994</v>
      </c>
      <c r="AJ13" s="34">
        <f>AI13*(1+НАСТРОЙКИ!$B$11/12)</f>
        <v>297.92650082704796</v>
      </c>
      <c r="AK13" s="34">
        <f>AJ13*(1+НАСТРОЙКИ!$B$11/12)</f>
        <v>301.89885417140863</v>
      </c>
      <c r="AL13" s="34">
        <f>AK13*(1+НАСТРОЙКИ!$B$11/12)</f>
        <v>305.92417222702744</v>
      </c>
      <c r="AM13" s="34">
        <f>AL13*(1+НАСТРОЙКИ!$B$11/12)</f>
        <v>310.00316119005453</v>
      </c>
      <c r="AN13" s="34">
        <f>AM13*(1+НАСТРОЙКИ!$B$11/12)</f>
        <v>314.13653667258859</v>
      </c>
      <c r="AO13" s="34">
        <f>AN13*(1+НАСТРОЙКИ!$B$11/12)</f>
        <v>318.32502382822315</v>
      </c>
      <c r="AP13" s="34">
        <f>AO13*(1+НАСТРОЙКИ!$B$11/12)</f>
        <v>322.56935747926616</v>
      </c>
      <c r="AQ13" s="34">
        <f>AP13*(1+НАСТРОЙКИ!$B$11/12)</f>
        <v>326.87028224565643</v>
      </c>
      <c r="AR13" s="34">
        <f>AQ13*(1+НАСТРОЙКИ!$B$11/12)</f>
        <v>331.22855267559856</v>
      </c>
      <c r="AS13" s="34">
        <f>AR13*(1+НАСТРОЙКИ!$B$11/12)</f>
        <v>335.64493337793994</v>
      </c>
      <c r="AT13" s="34">
        <f>AS13*(1+НАСТРОЙКИ!$B$11/12)</f>
        <v>340.12019915631248</v>
      </c>
      <c r="AU13" s="34">
        <f>AT13*(1+НАСТРОЙКИ!$B$11/12)</f>
        <v>344.65513514506335</v>
      </c>
      <c r="AV13" s="34">
        <f>AU13*(1+НАСТРОЙКИ!$B$11/12)</f>
        <v>349.25053694699756</v>
      </c>
      <c r="AW13" s="34">
        <f>AV13*(1+НАСТРОЙКИ!$B$11/12)</f>
        <v>353.90721077295757</v>
      </c>
      <c r="AX13" s="34">
        <f>AW13*(1+НАСТРОЙКИ!$B$11/12)</f>
        <v>358.62597358326371</v>
      </c>
      <c r="AY13" s="34">
        <f>AX13*(1+НАСТРОЙКИ!$B$11/12)</f>
        <v>363.40765323104057</v>
      </c>
    </row>
    <row r="14" spans="1:51" x14ac:dyDescent="0.35">
      <c r="A14" s="35" t="s">
        <v>83</v>
      </c>
      <c r="B14" s="28" t="s">
        <v>81</v>
      </c>
      <c r="C14" s="36">
        <f>SUM($D$14:$AY$14)</f>
        <v>85270.41864759296</v>
      </c>
      <c r="D14" s="29">
        <f t="shared" ref="D14:AY14" si="1">D12*D13/1000</f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  <c r="J14" s="29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  <c r="N14" s="29">
        <f t="shared" si="1"/>
        <v>0</v>
      </c>
      <c r="O14" s="29">
        <f t="shared" si="1"/>
        <v>0</v>
      </c>
      <c r="P14" s="29">
        <f t="shared" si="1"/>
        <v>90.751343847210947</v>
      </c>
      <c r="Q14" s="29">
        <f t="shared" si="1"/>
        <v>183.69108282061157</v>
      </c>
      <c r="R14" s="29">
        <f t="shared" si="1"/>
        <v>279.32781051359581</v>
      </c>
      <c r="S14" s="29">
        <f t="shared" si="1"/>
        <v>377.24433577665866</v>
      </c>
      <c r="T14" s="29">
        <f t="shared" si="1"/>
        <v>477.96334053155681</v>
      </c>
      <c r="U14" s="29">
        <f t="shared" si="1"/>
        <v>581.05687558559487</v>
      </c>
      <c r="V14" s="29">
        <f t="shared" si="1"/>
        <v>687.06210107073832</v>
      </c>
      <c r="W14" s="29">
        <f t="shared" si="1"/>
        <v>795.54003280175323</v>
      </c>
      <c r="X14" s="29">
        <f t="shared" si="1"/>
        <v>907.04270978259262</v>
      </c>
      <c r="Y14" s="29">
        <f t="shared" si="1"/>
        <v>1021.1198287695394</v>
      </c>
      <c r="Z14" s="29">
        <f t="shared" si="1"/>
        <v>1138.3387193780497</v>
      </c>
      <c r="AA14" s="29">
        <f t="shared" si="1"/>
        <v>1258.2374679408767</v>
      </c>
      <c r="AB14" s="29">
        <f t="shared" si="1"/>
        <v>1386.4905985528469</v>
      </c>
      <c r="AC14" s="29">
        <f t="shared" si="1"/>
        <v>1518.2116716265466</v>
      </c>
      <c r="AD14" s="29">
        <f t="shared" si="1"/>
        <v>1652.923653183117</v>
      </c>
      <c r="AE14" s="29">
        <f t="shared" si="1"/>
        <v>1790.9580499506849</v>
      </c>
      <c r="AF14" s="29">
        <f t="shared" si="1"/>
        <v>1932.6620638047934</v>
      </c>
      <c r="AG14" s="29">
        <f t="shared" si="1"/>
        <v>2077.5401385137156</v>
      </c>
      <c r="AH14" s="29">
        <f t="shared" si="1"/>
        <v>2225.9380441813109</v>
      </c>
      <c r="AI14" s="29">
        <f t="shared" si="1"/>
        <v>2378.2178932795964</v>
      </c>
      <c r="AJ14" s="29">
        <f t="shared" si="1"/>
        <v>2533.8648895340425</v>
      </c>
      <c r="AK14" s="29">
        <f t="shared" si="1"/>
        <v>2693.2396780631366</v>
      </c>
      <c r="AL14" s="29">
        <f t="shared" si="1"/>
        <v>2856.7199202559823</v>
      </c>
      <c r="AM14" s="29">
        <f t="shared" si="1"/>
        <v>3023.7708342477918</v>
      </c>
      <c r="AN14" s="29">
        <f t="shared" si="1"/>
        <v>3201.3654452303504</v>
      </c>
      <c r="AO14" s="29">
        <f t="shared" si="1"/>
        <v>3383.1583532463555</v>
      </c>
      <c r="AP14" s="29">
        <f t="shared" si="1"/>
        <v>3569.5525098655594</v>
      </c>
      <c r="AQ14" s="29">
        <f t="shared" si="1"/>
        <v>3759.9888566717859</v>
      </c>
      <c r="AR14" s="29">
        <f t="shared" si="1"/>
        <v>3954.8689189466472</v>
      </c>
      <c r="AS14" s="29">
        <f t="shared" si="1"/>
        <v>4154.2773404187628</v>
      </c>
      <c r="AT14" s="29">
        <f t="shared" si="1"/>
        <v>4358.3002319889874</v>
      </c>
      <c r="AU14" s="29">
        <f t="shared" si="1"/>
        <v>4567.025195807234</v>
      </c>
      <c r="AV14" s="29">
        <f t="shared" si="1"/>
        <v>4780.8906002674494</v>
      </c>
      <c r="AW14" s="29">
        <f t="shared" si="1"/>
        <v>4999.2932593787982</v>
      </c>
      <c r="AX14" s="29">
        <f t="shared" si="1"/>
        <v>5222.6700532930699</v>
      </c>
      <c r="AY14" s="29">
        <f t="shared" si="1"/>
        <v>5451.1147984656091</v>
      </c>
    </row>
    <row r="15" spans="1:51" x14ac:dyDescent="0.35">
      <c r="A15" s="25" t="s">
        <v>84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</row>
    <row r="16" spans="1:51" x14ac:dyDescent="0.35">
      <c r="A16" s="27" t="s">
        <v>75</v>
      </c>
      <c r="B16" s="28" t="s">
        <v>76</v>
      </c>
      <c r="C16" s="29">
        <f>SUM($D$16:$AY$16)</f>
        <v>271648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1">
        <v>397</v>
      </c>
      <c r="Q16" s="31">
        <v>793</v>
      </c>
      <c r="R16" s="31">
        <v>1190</v>
      </c>
      <c r="S16" s="31">
        <v>1586</v>
      </c>
      <c r="T16" s="31">
        <v>1983</v>
      </c>
      <c r="U16" s="31">
        <v>2379</v>
      </c>
      <c r="V16" s="31">
        <v>2776</v>
      </c>
      <c r="W16" s="31">
        <v>3172</v>
      </c>
      <c r="X16" s="31">
        <v>3569</v>
      </c>
      <c r="Y16" s="31">
        <v>3965</v>
      </c>
      <c r="Z16" s="31">
        <v>4362</v>
      </c>
      <c r="AA16" s="31">
        <v>4758</v>
      </c>
      <c r="AB16" s="31">
        <v>5174</v>
      </c>
      <c r="AC16" s="31">
        <v>5591</v>
      </c>
      <c r="AD16" s="31">
        <v>6007</v>
      </c>
      <c r="AE16" s="31">
        <v>6423</v>
      </c>
      <c r="AF16" s="31">
        <v>6840</v>
      </c>
      <c r="AG16" s="31">
        <v>7256</v>
      </c>
      <c r="AH16" s="31">
        <v>7672</v>
      </c>
      <c r="AI16" s="31">
        <v>8089</v>
      </c>
      <c r="AJ16" s="31">
        <v>8505</v>
      </c>
      <c r="AK16" s="31">
        <v>8921</v>
      </c>
      <c r="AL16" s="31">
        <v>9338</v>
      </c>
      <c r="AM16" s="31">
        <v>9754</v>
      </c>
      <c r="AN16" s="31">
        <v>10191</v>
      </c>
      <c r="AO16" s="31">
        <v>10628</v>
      </c>
      <c r="AP16" s="31">
        <v>11066</v>
      </c>
      <c r="AQ16" s="31">
        <v>11503</v>
      </c>
      <c r="AR16" s="31">
        <v>11940</v>
      </c>
      <c r="AS16" s="31">
        <v>12377</v>
      </c>
      <c r="AT16" s="31">
        <v>12814</v>
      </c>
      <c r="AU16" s="31">
        <v>13251</v>
      </c>
      <c r="AV16" s="31">
        <v>13689</v>
      </c>
      <c r="AW16" s="31">
        <v>14126</v>
      </c>
      <c r="AX16" s="31">
        <v>14563</v>
      </c>
      <c r="AY16" s="31">
        <v>15000</v>
      </c>
    </row>
    <row r="17" spans="1:51" x14ac:dyDescent="0.35">
      <c r="A17" s="27" t="s">
        <v>77</v>
      </c>
      <c r="B17" s="28" t="s">
        <v>78</v>
      </c>
      <c r="C17" s="32" t="s">
        <v>79</v>
      </c>
      <c r="D17" s="33">
        <v>495</v>
      </c>
      <c r="E17" s="34">
        <f>D17*(1+НАСТРОЙКИ!$B$11/12)</f>
        <v>501.6</v>
      </c>
      <c r="F17" s="34">
        <f>E17*(1+НАСТРОЙКИ!$B$11/12)</f>
        <v>508.28800000000007</v>
      </c>
      <c r="G17" s="34">
        <f>F17*(1+НАСТРОЙКИ!$B$11/12)</f>
        <v>515.06517333333341</v>
      </c>
      <c r="H17" s="34">
        <f>G17*(1+НАСТРОЙКИ!$B$11/12)</f>
        <v>521.93270897777791</v>
      </c>
      <c r="I17" s="34">
        <f>H17*(1+НАСТРОЙКИ!$B$11/12)</f>
        <v>528.89181176414831</v>
      </c>
      <c r="J17" s="34">
        <f>I17*(1+НАСТРОЙКИ!$B$11/12)</f>
        <v>535.94370258767037</v>
      </c>
      <c r="K17" s="34">
        <f>J17*(1+НАСТРОЙКИ!$B$11/12)</f>
        <v>543.08961862217268</v>
      </c>
      <c r="L17" s="34">
        <f>K17*(1+НАСТРОЙКИ!$B$11/12)</f>
        <v>550.33081353713499</v>
      </c>
      <c r="M17" s="34">
        <f>L17*(1+НАСТРОЙКИ!$B$11/12)</f>
        <v>557.66855771763016</v>
      </c>
      <c r="N17" s="34">
        <f>M17*(1+НАСТРОЙКИ!$B$11/12)</f>
        <v>565.10413848719861</v>
      </c>
      <c r="O17" s="34">
        <f>N17*(1+НАСТРОЙКИ!$B$11/12)</f>
        <v>572.63886033369465</v>
      </c>
      <c r="P17" s="34">
        <f>O17*(1+НАСТРОЙКИ!$B$11/12)</f>
        <v>580.27404513814395</v>
      </c>
      <c r="Q17" s="34">
        <f>P17*(1+НАСТРОЙКИ!$B$11/12)</f>
        <v>588.01103240665259</v>
      </c>
      <c r="R17" s="34">
        <f>Q17*(1+НАСТРОЙКИ!$B$11/12)</f>
        <v>595.85117950540803</v>
      </c>
      <c r="S17" s="34">
        <f>R17*(1+НАСТРОЙКИ!$B$11/12)</f>
        <v>603.79586189881354</v>
      </c>
      <c r="T17" s="34">
        <f>S17*(1+НАСТРОЙКИ!$B$11/12)</f>
        <v>611.84647339079777</v>
      </c>
      <c r="U17" s="34">
        <f>T17*(1+НАСТРОЙКИ!$B$11/12)</f>
        <v>620.00442636934179</v>
      </c>
      <c r="V17" s="34">
        <f>U17*(1+НАСТРОЙКИ!$B$11/12)</f>
        <v>628.27115205426639</v>
      </c>
      <c r="W17" s="34">
        <f>V17*(1+НАСТРОЙКИ!$B$11/12)</f>
        <v>636.64810074832337</v>
      </c>
      <c r="X17" s="34">
        <f>W17*(1+НАСТРОЙКИ!$B$11/12)</f>
        <v>645.13674209163446</v>
      </c>
      <c r="Y17" s="34">
        <f>X17*(1+НАСТРОЙКИ!$B$11/12)</f>
        <v>653.73856531952299</v>
      </c>
      <c r="Z17" s="34">
        <f>Y17*(1+НАСТРОЙКИ!$B$11/12)</f>
        <v>662.4550795237833</v>
      </c>
      <c r="AA17" s="34">
        <f>Z17*(1+НАСТРОЙКИ!$B$11/12)</f>
        <v>671.28781391743382</v>
      </c>
      <c r="AB17" s="34">
        <f>AA17*(1+НАСТРОЙКИ!$B$11/12)</f>
        <v>680.23831810299964</v>
      </c>
      <c r="AC17" s="34">
        <f>AB17*(1+НАСТРОЙКИ!$B$11/12)</f>
        <v>689.30816234437305</v>
      </c>
      <c r="AD17" s="34">
        <f>AC17*(1+НАСТРОЙКИ!$B$11/12)</f>
        <v>698.49893784229812</v>
      </c>
      <c r="AE17" s="34">
        <f>AD17*(1+НАСТРОЙКИ!$B$11/12)</f>
        <v>707.81225701352878</v>
      </c>
      <c r="AF17" s="34">
        <f>AE17*(1+НАСТРОЙКИ!$B$11/12)</f>
        <v>717.24975377370924</v>
      </c>
      <c r="AG17" s="34">
        <f>AF17*(1+НАСТРОЙКИ!$B$11/12)</f>
        <v>726.8130838240254</v>
      </c>
      <c r="AH17" s="34">
        <f>AG17*(1+НАСТРОЙКИ!$B$11/12)</f>
        <v>736.50392494167909</v>
      </c>
      <c r="AI17" s="34">
        <f>AH17*(1+НАСТРОЙКИ!$B$11/12)</f>
        <v>746.32397727423484</v>
      </c>
      <c r="AJ17" s="34">
        <f>AI17*(1+НАСТРОЙКИ!$B$11/12)</f>
        <v>756.27496363789135</v>
      </c>
      <c r="AK17" s="34">
        <f>AJ17*(1+НАСТРОЙКИ!$B$11/12)</f>
        <v>766.35862981972991</v>
      </c>
      <c r="AL17" s="34">
        <f>AK17*(1+НАСТРОЙКИ!$B$11/12)</f>
        <v>776.576744883993</v>
      </c>
      <c r="AM17" s="34">
        <f>AL17*(1+НАСТРОЙКИ!$B$11/12)</f>
        <v>786.93110148244625</v>
      </c>
      <c r="AN17" s="34">
        <f>AM17*(1+НАСТРОЙКИ!$B$11/12)</f>
        <v>797.4235161688789</v>
      </c>
      <c r="AO17" s="34">
        <f>AN17*(1+НАСТРОЙКИ!$B$11/12)</f>
        <v>808.05582971779734</v>
      </c>
      <c r="AP17" s="34">
        <f>AO17*(1+НАСТРОЙКИ!$B$11/12)</f>
        <v>818.82990744736799</v>
      </c>
      <c r="AQ17" s="34">
        <f>AP17*(1+НАСТРОЙКИ!$B$11/12)</f>
        <v>829.74763954666628</v>
      </c>
      <c r="AR17" s="34">
        <f>AQ17*(1+НАСТРОЙКИ!$B$11/12)</f>
        <v>840.81094140728851</v>
      </c>
      <c r="AS17" s="34">
        <f>AR17*(1+НАСТРОЙКИ!$B$11/12)</f>
        <v>852.02175395938582</v>
      </c>
      <c r="AT17" s="34">
        <f>AS17*(1+НАСТРОЙКИ!$B$11/12)</f>
        <v>863.38204401217774</v>
      </c>
      <c r="AU17" s="34">
        <f>AT17*(1+НАСТРОЙКИ!$B$11/12)</f>
        <v>874.8938045990069</v>
      </c>
      <c r="AV17" s="34">
        <f>AU17*(1+НАСТРОЙКИ!$B$11/12)</f>
        <v>886.55905532699376</v>
      </c>
      <c r="AW17" s="34">
        <f>AV17*(1+НАСТРОЙКИ!$B$11/12)</f>
        <v>898.37984273135373</v>
      </c>
      <c r="AX17" s="34">
        <f>AW17*(1+НАСТРОЙКИ!$B$11/12)</f>
        <v>910.35824063443852</v>
      </c>
      <c r="AY17" s="34">
        <f>AX17*(1+НАСТРОЙКИ!$B$11/12)</f>
        <v>922.49635050956442</v>
      </c>
    </row>
    <row r="18" spans="1:51" x14ac:dyDescent="0.35">
      <c r="A18" s="35" t="s">
        <v>85</v>
      </c>
      <c r="B18" s="28" t="s">
        <v>81</v>
      </c>
      <c r="C18" s="36">
        <f>SUM($D$18:$AY$18)</f>
        <v>216455.67810542829</v>
      </c>
      <c r="D18" s="29">
        <f t="shared" ref="D18:AY18" si="2">D16*D17/1000</f>
        <v>0</v>
      </c>
      <c r="E18" s="29">
        <f t="shared" si="2"/>
        <v>0</v>
      </c>
      <c r="F18" s="29">
        <f t="shared" si="2"/>
        <v>0</v>
      </c>
      <c r="G18" s="29">
        <f t="shared" si="2"/>
        <v>0</v>
      </c>
      <c r="H18" s="29">
        <f t="shared" si="2"/>
        <v>0</v>
      </c>
      <c r="I18" s="29">
        <f t="shared" si="2"/>
        <v>0</v>
      </c>
      <c r="J18" s="29">
        <f t="shared" si="2"/>
        <v>0</v>
      </c>
      <c r="K18" s="29">
        <f t="shared" si="2"/>
        <v>0</v>
      </c>
      <c r="L18" s="29">
        <f t="shared" si="2"/>
        <v>0</v>
      </c>
      <c r="M18" s="29">
        <f t="shared" si="2"/>
        <v>0</v>
      </c>
      <c r="N18" s="29">
        <f t="shared" si="2"/>
        <v>0</v>
      </c>
      <c r="O18" s="29">
        <f t="shared" si="2"/>
        <v>0</v>
      </c>
      <c r="P18" s="29">
        <f t="shared" si="2"/>
        <v>230.36879591984314</v>
      </c>
      <c r="Q18" s="29">
        <f t="shared" si="2"/>
        <v>466.29274869847546</v>
      </c>
      <c r="R18" s="29">
        <f t="shared" si="2"/>
        <v>709.06290361143556</v>
      </c>
      <c r="S18" s="29">
        <f t="shared" si="2"/>
        <v>957.62023697151824</v>
      </c>
      <c r="T18" s="29">
        <f t="shared" si="2"/>
        <v>1213.2915567339519</v>
      </c>
      <c r="U18" s="29">
        <f t="shared" si="2"/>
        <v>1474.9905303326641</v>
      </c>
      <c r="V18" s="29">
        <f t="shared" si="2"/>
        <v>1744.0807181026435</v>
      </c>
      <c r="W18" s="29">
        <f t="shared" si="2"/>
        <v>2019.4477755736818</v>
      </c>
      <c r="X18" s="29">
        <f t="shared" si="2"/>
        <v>2302.4930325250434</v>
      </c>
      <c r="Y18" s="29">
        <f t="shared" si="2"/>
        <v>2592.0734114919087</v>
      </c>
      <c r="Z18" s="29">
        <f t="shared" si="2"/>
        <v>2889.6290568827426</v>
      </c>
      <c r="AA18" s="29">
        <f t="shared" si="2"/>
        <v>3193.9874186191505</v>
      </c>
      <c r="AB18" s="29">
        <f t="shared" si="2"/>
        <v>3519.5530578649204</v>
      </c>
      <c r="AC18" s="29">
        <f t="shared" si="2"/>
        <v>3853.9219356673893</v>
      </c>
      <c r="AD18" s="29">
        <f t="shared" si="2"/>
        <v>4195.8831196186848</v>
      </c>
      <c r="AE18" s="29">
        <f t="shared" si="2"/>
        <v>4546.2781267978953</v>
      </c>
      <c r="AF18" s="29">
        <f t="shared" si="2"/>
        <v>4905.9883158121711</v>
      </c>
      <c r="AG18" s="29">
        <f t="shared" si="2"/>
        <v>5273.7557362271291</v>
      </c>
      <c r="AH18" s="29">
        <f t="shared" si="2"/>
        <v>5650.4581121525616</v>
      </c>
      <c r="AI18" s="29">
        <f t="shared" si="2"/>
        <v>6037.0146521712859</v>
      </c>
      <c r="AJ18" s="29">
        <f t="shared" si="2"/>
        <v>6432.1185657402657</v>
      </c>
      <c r="AK18" s="29">
        <f t="shared" si="2"/>
        <v>6836.6853366218111</v>
      </c>
      <c r="AL18" s="29">
        <f t="shared" si="2"/>
        <v>7251.6736437267273</v>
      </c>
      <c r="AM18" s="29">
        <f t="shared" si="2"/>
        <v>7675.7259638597807</v>
      </c>
      <c r="AN18" s="29">
        <f t="shared" si="2"/>
        <v>8126.5430532770442</v>
      </c>
      <c r="AO18" s="29">
        <f t="shared" si="2"/>
        <v>8588.0173582407497</v>
      </c>
      <c r="AP18" s="29">
        <f t="shared" si="2"/>
        <v>9061.1717558125747</v>
      </c>
      <c r="AQ18" s="29">
        <f t="shared" si="2"/>
        <v>9544.5870977053019</v>
      </c>
      <c r="AR18" s="29">
        <f t="shared" si="2"/>
        <v>10039.282640403026</v>
      </c>
      <c r="AS18" s="29">
        <f t="shared" si="2"/>
        <v>10545.473248755319</v>
      </c>
      <c r="AT18" s="29">
        <f t="shared" si="2"/>
        <v>11063.377511972045</v>
      </c>
      <c r="AU18" s="29">
        <f t="shared" si="2"/>
        <v>11593.21780474144</v>
      </c>
      <c r="AV18" s="29">
        <f t="shared" si="2"/>
        <v>12136.106908371217</v>
      </c>
      <c r="AW18" s="29">
        <f t="shared" si="2"/>
        <v>12690.513658423104</v>
      </c>
      <c r="AX18" s="29">
        <f t="shared" si="2"/>
        <v>13257.547058359329</v>
      </c>
      <c r="AY18" s="29">
        <f t="shared" si="2"/>
        <v>13837.445257643467</v>
      </c>
    </row>
    <row r="20" spans="1:51" x14ac:dyDescent="0.35">
      <c r="A20" s="37" t="s">
        <v>86</v>
      </c>
      <c r="B20" s="38" t="s">
        <v>81</v>
      </c>
      <c r="C20" s="39">
        <f>SUM($D$20:$AY$20)</f>
        <v>483927.67231998098</v>
      </c>
      <c r="D20" s="39">
        <f t="shared" ref="D20:AY20" si="3">D10+D14+D18</f>
        <v>0</v>
      </c>
      <c r="E20" s="39">
        <f t="shared" si="3"/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3"/>
        <v>0</v>
      </c>
      <c r="J20" s="39">
        <f t="shared" si="3"/>
        <v>0</v>
      </c>
      <c r="K20" s="39">
        <f t="shared" si="3"/>
        <v>0</v>
      </c>
      <c r="L20" s="39">
        <f t="shared" si="3"/>
        <v>0</v>
      </c>
      <c r="M20" s="39">
        <f t="shared" si="3"/>
        <v>0</v>
      </c>
      <c r="N20" s="39">
        <f t="shared" si="3"/>
        <v>0</v>
      </c>
      <c r="O20" s="39">
        <f t="shared" si="3"/>
        <v>0</v>
      </c>
      <c r="P20" s="39">
        <f t="shared" si="3"/>
        <v>514.83788917933339</v>
      </c>
      <c r="Q20" s="39">
        <f t="shared" si="3"/>
        <v>1042.5851369946399</v>
      </c>
      <c r="R20" s="39">
        <f t="shared" si="3"/>
        <v>1585.1446984478719</v>
      </c>
      <c r="S20" s="39">
        <f t="shared" si="3"/>
        <v>2140.8405641615932</v>
      </c>
      <c r="T20" s="39">
        <f t="shared" si="3"/>
        <v>2712.2350730651024</v>
      </c>
      <c r="U20" s="39">
        <f t="shared" si="3"/>
        <v>3297.6219264002993</v>
      </c>
      <c r="V20" s="39">
        <f t="shared" si="3"/>
        <v>3899.0126926092585</v>
      </c>
      <c r="W20" s="39">
        <f t="shared" si="3"/>
        <v>4514.9668531513871</v>
      </c>
      <c r="X20" s="39">
        <f t="shared" si="3"/>
        <v>5147.552581681899</v>
      </c>
      <c r="Y20" s="39">
        <f t="shared" si="3"/>
        <v>5795.2933302597939</v>
      </c>
      <c r="Z20" s="39">
        <f t="shared" si="3"/>
        <v>6459.9808939670438</v>
      </c>
      <c r="AA20" s="39">
        <f t="shared" si="3"/>
        <v>7140.7664847242941</v>
      </c>
      <c r="AB20" s="39">
        <f t="shared" si="3"/>
        <v>7868.8594419330529</v>
      </c>
      <c r="AC20" s="39">
        <f t="shared" si="3"/>
        <v>8616.0595955388162</v>
      </c>
      <c r="AD20" s="39">
        <f t="shared" si="3"/>
        <v>9380.8125130427543</v>
      </c>
      <c r="AE20" s="39">
        <f t="shared" si="3"/>
        <v>10164.427097752032</v>
      </c>
      <c r="AF20" s="39">
        <f t="shared" si="3"/>
        <v>10968.270174071651</v>
      </c>
      <c r="AG20" s="39">
        <f t="shared" si="3"/>
        <v>11790.7289231084</v>
      </c>
      <c r="AH20" s="39">
        <f t="shared" si="3"/>
        <v>12632.798019075915</v>
      </c>
      <c r="AI20" s="39">
        <f t="shared" si="3"/>
        <v>13496.643423043788</v>
      </c>
      <c r="AJ20" s="39">
        <f t="shared" si="3"/>
        <v>14380.22467222739</v>
      </c>
      <c r="AK20" s="39">
        <f t="shared" si="3"/>
        <v>15284.968684780686</v>
      </c>
      <c r="AL20" s="39">
        <f t="shared" si="3"/>
        <v>16212.365220866337</v>
      </c>
      <c r="AM20" s="39">
        <f t="shared" si="3"/>
        <v>17160.678069218746</v>
      </c>
      <c r="AN20" s="39">
        <f t="shared" si="3"/>
        <v>18168.835693277382</v>
      </c>
      <c r="AO20" s="39">
        <f t="shared" si="3"/>
        <v>19200.418624427039</v>
      </c>
      <c r="AP20" s="39">
        <f t="shared" si="3"/>
        <v>20257.835368229553</v>
      </c>
      <c r="AQ20" s="39">
        <f t="shared" si="3"/>
        <v>21338.460801725138</v>
      </c>
      <c r="AR20" s="39">
        <f t="shared" si="3"/>
        <v>22444.726172483533</v>
      </c>
      <c r="AS20" s="39">
        <f t="shared" si="3"/>
        <v>23576.268134969141</v>
      </c>
      <c r="AT20" s="39">
        <f t="shared" si="3"/>
        <v>24734.430427783296</v>
      </c>
      <c r="AU20" s="39">
        <f t="shared" si="3"/>
        <v>25919.285711848504</v>
      </c>
      <c r="AV20" s="39">
        <f t="shared" si="3"/>
        <v>27132.127957239696</v>
      </c>
      <c r="AW20" s="39">
        <f t="shared" si="3"/>
        <v>28371.906229632335</v>
      </c>
      <c r="AX20" s="39">
        <f t="shared" si="3"/>
        <v>29639.461989651623</v>
      </c>
      <c r="AY20" s="39">
        <f t="shared" si="3"/>
        <v>30936.241249411658</v>
      </c>
    </row>
    <row r="21" spans="1:51" ht="16" customHeight="1" x14ac:dyDescent="0.35">
      <c r="A21" s="4" t="s">
        <v>87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x14ac:dyDescent="0.35">
      <c r="A22" s="40" t="s">
        <v>88</v>
      </c>
      <c r="C22" s="41">
        <f>НАСТРОЙКИ!$B$34</f>
        <v>0.42</v>
      </c>
    </row>
    <row r="23" spans="1:51" x14ac:dyDescent="0.35">
      <c r="A23" s="40" t="s">
        <v>89</v>
      </c>
    </row>
    <row r="24" spans="1:51" x14ac:dyDescent="0.35">
      <c r="A24" s="27" t="s">
        <v>90</v>
      </c>
      <c r="B24" s="28" t="s">
        <v>81</v>
      </c>
      <c r="C24" s="29">
        <f>SUM($D$24:$AY$24)</f>
        <v>203249.62237439197</v>
      </c>
      <c r="D24" s="29">
        <f>D20*НАСТРОЙКИ!$B$34</f>
        <v>0</v>
      </c>
      <c r="E24" s="29">
        <f>E20*НАСТРОЙКИ!$B$34</f>
        <v>0</v>
      </c>
      <c r="F24" s="29">
        <f>F20*НАСТРОЙКИ!$B$34</f>
        <v>0</v>
      </c>
      <c r="G24" s="29">
        <f>G20*НАСТРОЙКИ!$B$34</f>
        <v>0</v>
      </c>
      <c r="H24" s="29">
        <f>H20*НАСТРОЙКИ!$B$34</f>
        <v>0</v>
      </c>
      <c r="I24" s="29">
        <f>I20*НАСТРОЙКИ!$B$34</f>
        <v>0</v>
      </c>
      <c r="J24" s="29">
        <f>J20*НАСТРОЙКИ!$B$34</f>
        <v>0</v>
      </c>
      <c r="K24" s="29">
        <f>K20*НАСТРОЙКИ!$B$34</f>
        <v>0</v>
      </c>
      <c r="L24" s="29">
        <f>L20*НАСТРОЙКИ!$B$34</f>
        <v>0</v>
      </c>
      <c r="M24" s="29">
        <f>M20*НАСТРОЙКИ!$B$34</f>
        <v>0</v>
      </c>
      <c r="N24" s="29">
        <f>N20*НАСТРОЙКИ!$B$34</f>
        <v>0</v>
      </c>
      <c r="O24" s="29">
        <f>O20*НАСТРОЙКИ!$B$34</f>
        <v>0</v>
      </c>
      <c r="P24" s="29">
        <f>P20*НАСТРОЙКИ!$B$34</f>
        <v>216.23191345532001</v>
      </c>
      <c r="Q24" s="29">
        <f>Q20*НАСТРОЙКИ!$B$34</f>
        <v>437.88575753774876</v>
      </c>
      <c r="R24" s="29">
        <f>R20*НАСТРОЙКИ!$B$34</f>
        <v>665.76077334810611</v>
      </c>
      <c r="S24" s="29">
        <f>S20*НАСТРОЙКИ!$B$34</f>
        <v>899.15303694786905</v>
      </c>
      <c r="T24" s="29">
        <f>T20*НАСТРОЙКИ!$B$34</f>
        <v>1139.138730687343</v>
      </c>
      <c r="U24" s="29">
        <f>U20*НАСТРОЙКИ!$B$34</f>
        <v>1385.0012090881257</v>
      </c>
      <c r="V24" s="29">
        <f>V20*НАСТРОЙКИ!$B$34</f>
        <v>1637.5853308958885</v>
      </c>
      <c r="W24" s="29">
        <f>W20*НАСТРОЙКИ!$B$34</f>
        <v>1896.2860783235826</v>
      </c>
      <c r="X24" s="29">
        <f>X20*НАСТРОЙКИ!$B$34</f>
        <v>2161.9720843063974</v>
      </c>
      <c r="Y24" s="29">
        <f>Y20*НАСТРОЙКИ!$B$34</f>
        <v>2434.0231987091133</v>
      </c>
      <c r="Z24" s="29">
        <f>Z20*НАСТРОЙКИ!$B$34</f>
        <v>2713.1919754661585</v>
      </c>
      <c r="AA24" s="29">
        <f>AA20*НАСТРОЙКИ!$B$34</f>
        <v>2999.1219235842036</v>
      </c>
      <c r="AB24" s="29">
        <f>AB20*НАСТРОЙКИ!$B$34</f>
        <v>3304.9209656118819</v>
      </c>
      <c r="AC24" s="29">
        <f>AC20*НАСТРОЙКИ!$B$34</f>
        <v>3618.7450301263025</v>
      </c>
      <c r="AD24" s="29">
        <f>AD20*НАСТРОЙКИ!$B$34</f>
        <v>3939.9412554779565</v>
      </c>
      <c r="AE24" s="29">
        <f>AE20*НАСТРОЙКИ!$B$34</f>
        <v>4269.059381055853</v>
      </c>
      <c r="AF24" s="29">
        <f>AF20*НАСТРОЙКИ!$B$34</f>
        <v>4606.6734731100933</v>
      </c>
      <c r="AG24" s="29">
        <f>AG20*НАСТРОЙКИ!$B$34</f>
        <v>4952.1061477055273</v>
      </c>
      <c r="AH24" s="29">
        <f>AH20*НАСТРОЙКИ!$B$34</f>
        <v>5305.7751680118845</v>
      </c>
      <c r="AI24" s="29">
        <f>AI20*НАСТРОЙКИ!$B$34</f>
        <v>5668.5902376783906</v>
      </c>
      <c r="AJ24" s="29">
        <f>AJ20*НАСТРОЙКИ!$B$34</f>
        <v>6039.6943623355037</v>
      </c>
      <c r="AK24" s="29">
        <f>AK20*НАСТРОЙКИ!$B$34</f>
        <v>6419.686847607888</v>
      </c>
      <c r="AL24" s="29">
        <f>AL20*НАСТРОЙКИ!$B$34</f>
        <v>6809.1933927638611</v>
      </c>
      <c r="AM24" s="29">
        <f>AM20*НАСТРОЙКИ!$B$34</f>
        <v>7207.4847890718729</v>
      </c>
      <c r="AN24" s="29">
        <f>AN20*НАСТРОЙКИ!$B$34</f>
        <v>7630.9109911764999</v>
      </c>
      <c r="AO24" s="29">
        <f>AO20*НАСТРОЙКИ!$B$34</f>
        <v>8064.1758222593562</v>
      </c>
      <c r="AP24" s="29">
        <f>AP20*НАСТРОЙКИ!$B$34</f>
        <v>8508.2908546564122</v>
      </c>
      <c r="AQ24" s="29">
        <f>AQ20*НАСТРОЙКИ!$B$34</f>
        <v>8962.1535367245579</v>
      </c>
      <c r="AR24" s="29">
        <f>AR20*НАСТРОЙКИ!$B$34</f>
        <v>9426.784992443083</v>
      </c>
      <c r="AS24" s="29">
        <f>AS20*НАСТРОЙКИ!$B$34</f>
        <v>9902.0326166870382</v>
      </c>
      <c r="AT24" s="29">
        <f>AT20*НАСТРОЙКИ!$B$34</f>
        <v>10388.460779668983</v>
      </c>
      <c r="AU24" s="29">
        <f>AU20*НАСТРОЙКИ!$B$34</f>
        <v>10886.099998976371</v>
      </c>
      <c r="AV24" s="29">
        <f>AV20*НАСТРОЙКИ!$B$34</f>
        <v>11395.493742040671</v>
      </c>
      <c r="AW24" s="29">
        <f>AW20*НАСТРОЙКИ!$B$34</f>
        <v>11916.20061644558</v>
      </c>
      <c r="AX24" s="29">
        <f>AX20*НАСТРОЙКИ!$B$34</f>
        <v>12448.574035653681</v>
      </c>
      <c r="AY24" s="29">
        <f>AY20*НАСТРОЙКИ!$B$34</f>
        <v>12993.221324752896</v>
      </c>
    </row>
    <row r="25" spans="1:51" x14ac:dyDescent="0.35">
      <c r="A25" s="27" t="s">
        <v>91</v>
      </c>
      <c r="B25" s="28" t="s">
        <v>81</v>
      </c>
      <c r="C25" s="29">
        <f>SUM($D$25:$AY$25)</f>
        <v>54641.35871465841</v>
      </c>
      <c r="D25" s="31">
        <v>820</v>
      </c>
      <c r="E25" s="29">
        <f>D25*(1+НАСТРОЙКИ!$B$11/12)</f>
        <v>830.93333333333339</v>
      </c>
      <c r="F25" s="29">
        <f>E25*(1+НАСТРОЙКИ!$B$11/12)</f>
        <v>842.01244444444455</v>
      </c>
      <c r="G25" s="29">
        <f>F25*(1+НАСТРОЙКИ!$B$11/12)</f>
        <v>853.23927703703725</v>
      </c>
      <c r="H25" s="29">
        <f>G25*(1+НАСТРОЙКИ!$B$11/12)</f>
        <v>864.61580073086452</v>
      </c>
      <c r="I25" s="29">
        <f>H25*(1+НАСТРОЙКИ!$B$11/12)</f>
        <v>876.14401140727614</v>
      </c>
      <c r="J25" s="29">
        <f>I25*(1+НАСТРОЙКИ!$B$11/12)</f>
        <v>887.8259315593732</v>
      </c>
      <c r="K25" s="29">
        <f>J25*(1+НАСТРОЙКИ!$B$11/12)</f>
        <v>899.66361064683156</v>
      </c>
      <c r="L25" s="29">
        <f>K25*(1+НАСТРОЙКИ!$B$11/12)</f>
        <v>911.65912545545609</v>
      </c>
      <c r="M25" s="29">
        <f>L25*(1+НАСТРОЙКИ!$B$11/12)</f>
        <v>923.81458046152886</v>
      </c>
      <c r="N25" s="29">
        <f>M25*(1+НАСТРОЙКИ!$B$11/12)</f>
        <v>936.13210820101597</v>
      </c>
      <c r="O25" s="29">
        <f>N25*(1+НАСТРОЙКИ!$B$11/12)</f>
        <v>948.61386964369626</v>
      </c>
      <c r="P25" s="29">
        <f>O25*(1+НАСТРОЙКИ!$B$11/12)</f>
        <v>961.262054572279</v>
      </c>
      <c r="Q25" s="29">
        <f>P25*(1+НАСТРОЙКИ!$B$11/12)</f>
        <v>974.07888196657609</v>
      </c>
      <c r="R25" s="29">
        <f>Q25*(1+НАСТРОЙКИ!$B$11/12)</f>
        <v>987.06660039279723</v>
      </c>
      <c r="S25" s="29">
        <f>R25*(1+НАСТРОЙКИ!$B$11/12)</f>
        <v>1000.2274883980346</v>
      </c>
      <c r="T25" s="29">
        <f>S25*(1+НАСТРОЙКИ!$B$11/12)</f>
        <v>1013.5638549100084</v>
      </c>
      <c r="U25" s="29">
        <f>T25*(1+НАСТРОЙКИ!$B$11/12)</f>
        <v>1027.0780396421419</v>
      </c>
      <c r="V25" s="29">
        <f>U25*(1+НАСТРОЙКИ!$B$11/12)</f>
        <v>1040.7724135040371</v>
      </c>
      <c r="W25" s="29">
        <f>V25*(1+НАСТРОЙКИ!$B$11/12)</f>
        <v>1054.6493790174243</v>
      </c>
      <c r="X25" s="29">
        <f>W25*(1+НАСТРОЙКИ!$B$11/12)</f>
        <v>1068.7113707376568</v>
      </c>
      <c r="Y25" s="29">
        <f>X25*(1+НАСТРОЙКИ!$B$11/12)</f>
        <v>1082.9608556808257</v>
      </c>
      <c r="Z25" s="29">
        <f>Y25*(1+НАСТРОЙКИ!$B$11/12)</f>
        <v>1097.4003337565703</v>
      </c>
      <c r="AA25" s="29">
        <f>Z25*(1+НАСТРОЙКИ!$B$11/12)</f>
        <v>1112.0323382066579</v>
      </c>
      <c r="AB25" s="29">
        <f>AA25*(1+НАСТРОЙКИ!$B$11/12)</f>
        <v>1126.8594360494135</v>
      </c>
      <c r="AC25" s="29">
        <f>AB25*(1+НАСТРОЙКИ!$B$11/12)</f>
        <v>1141.8842285300725</v>
      </c>
      <c r="AD25" s="29">
        <f>AC25*(1+НАСТРОЙКИ!$B$11/12)</f>
        <v>1157.1093515771402</v>
      </c>
      <c r="AE25" s="29">
        <f>AD25*(1+НАСТРОЙКИ!$B$11/12)</f>
        <v>1172.5374762648355</v>
      </c>
      <c r="AF25" s="29">
        <f>AE25*(1+НАСТРОЙКИ!$B$11/12)</f>
        <v>1188.1713092817001</v>
      </c>
      <c r="AG25" s="29">
        <f>AF25*(1+НАСТРОЙКИ!$B$11/12)</f>
        <v>1204.0135934054563</v>
      </c>
      <c r="AH25" s="29">
        <f>AG25*(1+НАСТРОЙКИ!$B$11/12)</f>
        <v>1220.0671079841959</v>
      </c>
      <c r="AI25" s="29">
        <f>AH25*(1+НАСТРОЙКИ!$B$11/12)</f>
        <v>1236.3346694239854</v>
      </c>
      <c r="AJ25" s="29">
        <f>AI25*(1+НАСТРОЙКИ!$B$11/12)</f>
        <v>1252.8191316829718</v>
      </c>
      <c r="AK25" s="29">
        <f>AJ25*(1+НАСТРОЙКИ!$B$11/12)</f>
        <v>1269.5233867720783</v>
      </c>
      <c r="AL25" s="29">
        <f>AK25*(1+НАСТРОЙКИ!$B$11/12)</f>
        <v>1286.4503652623728</v>
      </c>
      <c r="AM25" s="29">
        <f>AL25*(1+НАСТРОЙКИ!$B$11/12)</f>
        <v>1303.6030367992046</v>
      </c>
      <c r="AN25" s="29">
        <f>AM25*(1+НАСТРОЙКИ!$B$11/12)</f>
        <v>1320.984410623194</v>
      </c>
      <c r="AO25" s="29">
        <f>AN25*(1+НАСТРОЙКИ!$B$11/12)</f>
        <v>1338.5975360981699</v>
      </c>
      <c r="AP25" s="29">
        <f>AO25*(1+НАСТРОЙКИ!$B$11/12)</f>
        <v>1356.4455032461456</v>
      </c>
      <c r="AQ25" s="29">
        <f>AP25*(1+НАСТРОЙКИ!$B$11/12)</f>
        <v>1374.5314432894277</v>
      </c>
      <c r="AR25" s="29">
        <f>AQ25*(1+НАСТРОЙКИ!$B$11/12)</f>
        <v>1392.8585291999534</v>
      </c>
      <c r="AS25" s="29">
        <f>AR25*(1+НАСТРОЙКИ!$B$11/12)</f>
        <v>1411.4299762559529</v>
      </c>
      <c r="AT25" s="29">
        <f>AS25*(1+НАСТРОЙКИ!$B$11/12)</f>
        <v>1430.2490426060324</v>
      </c>
      <c r="AU25" s="29">
        <f>AT25*(1+НАСТРОЙКИ!$B$11/12)</f>
        <v>1449.3190298407796</v>
      </c>
      <c r="AV25" s="29">
        <f>AU25*(1+НАСТРОЙКИ!$B$11/12)</f>
        <v>1468.6432835719902</v>
      </c>
      <c r="AW25" s="29">
        <f>AV25*(1+НАСТРОЙКИ!$B$11/12)</f>
        <v>1488.2251940196168</v>
      </c>
      <c r="AX25" s="29">
        <f>AW25*(1+НАСТРОЙКИ!$B$11/12)</f>
        <v>1508.0681966065451</v>
      </c>
      <c r="AY25" s="29">
        <f>AX25*(1+НАСТРОЙКИ!$B$11/12)</f>
        <v>1528.1757725612993</v>
      </c>
    </row>
    <row r="26" spans="1:51" x14ac:dyDescent="0.35">
      <c r="A26" s="27" t="s">
        <v>92</v>
      </c>
      <c r="B26" s="28" t="s">
        <v>81</v>
      </c>
      <c r="C26" s="29">
        <f>SUM($D$26:$AY$26)</f>
        <v>38648.765920124228</v>
      </c>
      <c r="D26" s="31">
        <v>580</v>
      </c>
      <c r="E26" s="29">
        <f>D26*(1+НАСТРОЙКИ!$B$11/12)</f>
        <v>587.73333333333335</v>
      </c>
      <c r="F26" s="29">
        <f>E26*(1+НАСТРОЙКИ!$B$11/12)</f>
        <v>595.56977777777786</v>
      </c>
      <c r="G26" s="29">
        <f>F26*(1+НАСТРОЙКИ!$B$11/12)</f>
        <v>603.5107081481483</v>
      </c>
      <c r="H26" s="29">
        <f>G26*(1+НАСТРОЙКИ!$B$11/12)</f>
        <v>611.55751759012367</v>
      </c>
      <c r="I26" s="29">
        <f>H26*(1+НАСТРОЙКИ!$B$11/12)</f>
        <v>619.71161782465867</v>
      </c>
      <c r="J26" s="29">
        <f>I26*(1+НАСТРОЙКИ!$B$11/12)</f>
        <v>627.97443939565414</v>
      </c>
      <c r="K26" s="29">
        <f>J26*(1+НАСТРОЙКИ!$B$11/12)</f>
        <v>636.34743192092958</v>
      </c>
      <c r="L26" s="29">
        <f>K26*(1+НАСТРОЙКИ!$B$11/12)</f>
        <v>644.83206434654198</v>
      </c>
      <c r="M26" s="29">
        <f>L26*(1+НАСТРОЙКИ!$B$11/12)</f>
        <v>653.42982520449596</v>
      </c>
      <c r="N26" s="29">
        <f>M26*(1+НАСТРОЙКИ!$B$11/12)</f>
        <v>662.1422228738893</v>
      </c>
      <c r="O26" s="29">
        <f>N26*(1+НАСТРОЙКИ!$B$11/12)</f>
        <v>670.97078584554117</v>
      </c>
      <c r="P26" s="29">
        <f>O26*(1+НАСТРОЙКИ!$B$11/12)</f>
        <v>679.91706299014845</v>
      </c>
      <c r="Q26" s="29">
        <f>P26*(1+НАСТРОЙКИ!$B$11/12)</f>
        <v>688.98262383001713</v>
      </c>
      <c r="R26" s="29">
        <f>Q26*(1+НАСТРОЙКИ!$B$11/12)</f>
        <v>698.16905881441744</v>
      </c>
      <c r="S26" s="29">
        <f>R26*(1+НАСТРОЙКИ!$B$11/12)</f>
        <v>707.47797959860975</v>
      </c>
      <c r="T26" s="29">
        <f>S26*(1+НАСТРОЙКИ!$B$11/12)</f>
        <v>716.91101932659126</v>
      </c>
      <c r="U26" s="29">
        <f>T26*(1+НАСТРОЙКИ!$B$11/12)</f>
        <v>726.46983291761251</v>
      </c>
      <c r="V26" s="29">
        <f>U26*(1+НАСТРОЙКИ!$B$11/12)</f>
        <v>736.15609735651412</v>
      </c>
      <c r="W26" s="29">
        <f>V26*(1+НАСТРОЙКИ!$B$11/12)</f>
        <v>745.97151198793438</v>
      </c>
      <c r="X26" s="29">
        <f>W26*(1+НАСТРОЙКИ!$B$11/12)</f>
        <v>755.91779881444029</v>
      </c>
      <c r="Y26" s="29">
        <f>X26*(1+НАСТРОЙКИ!$B$11/12)</f>
        <v>765.9967027986329</v>
      </c>
      <c r="Z26" s="29">
        <f>Y26*(1+НАСТРОЙКИ!$B$11/12)</f>
        <v>776.20999216928135</v>
      </c>
      <c r="AA26" s="29">
        <f>Z26*(1+НАСТРОЙКИ!$B$11/12)</f>
        <v>786.55945873153848</v>
      </c>
      <c r="AB26" s="29">
        <f>AA26*(1+НАСТРОЙКИ!$B$11/12)</f>
        <v>797.04691818129243</v>
      </c>
      <c r="AC26" s="29">
        <f>AB26*(1+НАСТРОЙКИ!$B$11/12)</f>
        <v>807.67421042370972</v>
      </c>
      <c r="AD26" s="29">
        <f>AC26*(1+НАСТРОЙКИ!$B$11/12)</f>
        <v>818.44319989602593</v>
      </c>
      <c r="AE26" s="29">
        <f>AD26*(1+НАСТРОЙКИ!$B$11/12)</f>
        <v>829.35577589463969</v>
      </c>
      <c r="AF26" s="29">
        <f>AE26*(1+НАСТРОЙКИ!$B$11/12)</f>
        <v>840.41385290656831</v>
      </c>
      <c r="AG26" s="29">
        <f>AF26*(1+НАСТРОЙКИ!$B$11/12)</f>
        <v>851.61937094532266</v>
      </c>
      <c r="AH26" s="29">
        <f>AG26*(1+НАСТРОЙКИ!$B$11/12)</f>
        <v>862.97429589126034</v>
      </c>
      <c r="AI26" s="29">
        <f>AH26*(1+НАСТРОЙКИ!$B$11/12)</f>
        <v>874.48061983647722</v>
      </c>
      <c r="AJ26" s="29">
        <f>AI26*(1+НАСТРОЙКИ!$B$11/12)</f>
        <v>886.14036143429701</v>
      </c>
      <c r="AK26" s="29">
        <f>AJ26*(1+НАСТРОЙКИ!$B$11/12)</f>
        <v>897.95556625342101</v>
      </c>
      <c r="AL26" s="29">
        <f>AK26*(1+НАСТРОЙКИ!$B$11/12)</f>
        <v>909.92830713680007</v>
      </c>
      <c r="AM26" s="29">
        <f>AL26*(1+НАСТРОЙКИ!$B$11/12)</f>
        <v>922.06068456529079</v>
      </c>
      <c r="AN26" s="29">
        <f>AM26*(1+НАСТРОЙКИ!$B$11/12)</f>
        <v>934.35482702616139</v>
      </c>
      <c r="AO26" s="29">
        <f>AN26*(1+НАСТРОЙКИ!$B$11/12)</f>
        <v>946.81289138651027</v>
      </c>
      <c r="AP26" s="29">
        <f>AO26*(1+НАСТРОЙКИ!$B$11/12)</f>
        <v>959.43706327166387</v>
      </c>
      <c r="AQ26" s="29">
        <f>AP26*(1+НАСТРОЙКИ!$B$11/12)</f>
        <v>972.22955744861952</v>
      </c>
      <c r="AR26" s="29">
        <f>AQ26*(1+НАСТРОЙКИ!$B$11/12)</f>
        <v>985.19261821460123</v>
      </c>
      <c r="AS26" s="29">
        <f>AR26*(1+НАСТРОЙКИ!$B$11/12)</f>
        <v>998.32851979079601</v>
      </c>
      <c r="AT26" s="29">
        <f>AS26*(1+НАСТРОЙКИ!$B$11/12)</f>
        <v>1011.6395667213401</v>
      </c>
      <c r="AU26" s="29">
        <f>AT26*(1+НАСТРОЙКИ!$B$11/12)</f>
        <v>1025.1280942776248</v>
      </c>
      <c r="AV26" s="29">
        <f>AU26*(1+НАСТРОЙКИ!$B$11/12)</f>
        <v>1038.7964688679931</v>
      </c>
      <c r="AW26" s="29">
        <f>AV26*(1+НАСТРОЙКИ!$B$11/12)</f>
        <v>1052.6470884528997</v>
      </c>
      <c r="AX26" s="29">
        <f>AW26*(1+НАСТРОЙКИ!$B$11/12)</f>
        <v>1066.682382965605</v>
      </c>
      <c r="AY26" s="29">
        <f>AX26*(1+НАСТРОЙКИ!$B$11/12)</f>
        <v>1080.9048147384799</v>
      </c>
    </row>
    <row r="27" spans="1:51" x14ac:dyDescent="0.35">
      <c r="A27" s="27" t="s">
        <v>93</v>
      </c>
      <c r="B27" s="28" t="s">
        <v>81</v>
      </c>
      <c r="C27" s="29">
        <f>SUM($D$27:$AY$27)</f>
        <v>16658.95082763975</v>
      </c>
      <c r="D27" s="31">
        <v>250</v>
      </c>
      <c r="E27" s="29">
        <f>D27*(1+НАСТРОЙКИ!$B$11/12)</f>
        <v>253.33333333333334</v>
      </c>
      <c r="F27" s="29">
        <f>E27*(1+НАСТРОЙКИ!$B$11/12)</f>
        <v>256.71111111111117</v>
      </c>
      <c r="G27" s="29">
        <f>F27*(1+НАСТРОЙКИ!$B$11/12)</f>
        <v>260.13392592592601</v>
      </c>
      <c r="H27" s="29">
        <f>G27*(1+НАСТРОЙКИ!$B$11/12)</f>
        <v>263.60237827160506</v>
      </c>
      <c r="I27" s="29">
        <f>H27*(1+НАСТРОЙКИ!$B$11/12)</f>
        <v>267.11707664855982</v>
      </c>
      <c r="J27" s="29">
        <f>I27*(1+НАСТРОЙКИ!$B$11/12)</f>
        <v>270.67863767054064</v>
      </c>
      <c r="K27" s="29">
        <f>J27*(1+НАСТРОЙКИ!$B$11/12)</f>
        <v>274.28768617281452</v>
      </c>
      <c r="L27" s="29">
        <f>K27*(1+НАСТРОЙКИ!$B$11/12)</f>
        <v>277.94485532178538</v>
      </c>
      <c r="M27" s="29">
        <f>L27*(1+НАСТРОЙКИ!$B$11/12)</f>
        <v>281.65078672607586</v>
      </c>
      <c r="N27" s="29">
        <f>M27*(1+НАСТРОЙКИ!$B$11/12)</f>
        <v>285.40613054909022</v>
      </c>
      <c r="O27" s="29">
        <f>N27*(1+НАСТРОЙКИ!$B$11/12)</f>
        <v>289.21154562307811</v>
      </c>
      <c r="P27" s="29">
        <f>O27*(1+НАСТРОЙКИ!$B$11/12)</f>
        <v>293.06769956471919</v>
      </c>
      <c r="Q27" s="29">
        <f>P27*(1+НАСТРОЙКИ!$B$11/12)</f>
        <v>296.97526889224878</v>
      </c>
      <c r="R27" s="29">
        <f>Q27*(1+НАСТРОЙКИ!$B$11/12)</f>
        <v>300.93493914414546</v>
      </c>
      <c r="S27" s="29">
        <f>R27*(1+НАСТРОЙКИ!$B$11/12)</f>
        <v>304.94740499940076</v>
      </c>
      <c r="T27" s="29">
        <f>S27*(1+НАСТРОЙКИ!$B$11/12)</f>
        <v>309.01337039939278</v>
      </c>
      <c r="U27" s="29">
        <f>T27*(1+НАСТРОЙКИ!$B$11/12)</f>
        <v>313.13354867138469</v>
      </c>
      <c r="V27" s="29">
        <f>U27*(1+НАСТРОЙКИ!$B$11/12)</f>
        <v>317.30866265366984</v>
      </c>
      <c r="W27" s="29">
        <f>V27*(1+НАСТРОЙКИ!$B$11/12)</f>
        <v>321.53944482238546</v>
      </c>
      <c r="X27" s="29">
        <f>W27*(1+НАСТРОЙКИ!$B$11/12)</f>
        <v>325.82663742001728</v>
      </c>
      <c r="Y27" s="29">
        <f>X27*(1+НАСТРОЙКИ!$B$11/12)</f>
        <v>330.17099258561751</v>
      </c>
      <c r="Z27" s="29">
        <f>Y27*(1+НАСТРОЙКИ!$B$11/12)</f>
        <v>334.57327248675909</v>
      </c>
      <c r="AA27" s="29">
        <f>Z27*(1+НАСТРОЙКИ!$B$11/12)</f>
        <v>339.03424945324923</v>
      </c>
      <c r="AB27" s="29">
        <f>AA27*(1+НАСТРОЙКИ!$B$11/12)</f>
        <v>343.55470611262592</v>
      </c>
      <c r="AC27" s="29">
        <f>AB27*(1+НАСТРОЙКИ!$B$11/12)</f>
        <v>348.13543552746097</v>
      </c>
      <c r="AD27" s="29">
        <f>AC27*(1+НАСТРОЙКИ!$B$11/12)</f>
        <v>352.77724133449379</v>
      </c>
      <c r="AE27" s="29">
        <f>AD27*(1+НАСТРОЙКИ!$B$11/12)</f>
        <v>357.48093788562039</v>
      </c>
      <c r="AF27" s="29">
        <f>AE27*(1+НАСТРОЙКИ!$B$11/12)</f>
        <v>362.24735039076205</v>
      </c>
      <c r="AG27" s="29">
        <f>AF27*(1+НАСТРОЙКИ!$B$11/12)</f>
        <v>367.07731506263889</v>
      </c>
      <c r="AH27" s="29">
        <f>AG27*(1+НАСТРОЙКИ!$B$11/12)</f>
        <v>371.97167926347413</v>
      </c>
      <c r="AI27" s="29">
        <f>AH27*(1+НАСТРОЙКИ!$B$11/12)</f>
        <v>376.9313016536538</v>
      </c>
      <c r="AJ27" s="29">
        <f>AI27*(1+НАСТРОЙКИ!$B$11/12)</f>
        <v>381.9570523423692</v>
      </c>
      <c r="AK27" s="29">
        <f>AJ27*(1+НАСТРОЙКИ!$B$11/12)</f>
        <v>387.04981304026751</v>
      </c>
      <c r="AL27" s="29">
        <f>AK27*(1+НАСТРОЙКИ!$B$11/12)</f>
        <v>392.21047721413777</v>
      </c>
      <c r="AM27" s="29">
        <f>AL27*(1+НАСТРОЙКИ!$B$11/12)</f>
        <v>397.43995024365967</v>
      </c>
      <c r="AN27" s="29">
        <f>AM27*(1+НАСТРОЙКИ!$B$11/12)</f>
        <v>402.73914958024181</v>
      </c>
      <c r="AO27" s="29">
        <f>AN27*(1+НАСТРОЙКИ!$B$11/12)</f>
        <v>408.10900490797843</v>
      </c>
      <c r="AP27" s="29">
        <f>AO27*(1+НАСТРОЙКИ!$B$11/12)</f>
        <v>413.55045830675152</v>
      </c>
      <c r="AQ27" s="29">
        <f>AP27*(1+НАСТРОЙКИ!$B$11/12)</f>
        <v>419.06446441750825</v>
      </c>
      <c r="AR27" s="29">
        <f>AQ27*(1+НАСТРОЙКИ!$B$11/12)</f>
        <v>424.65199060974174</v>
      </c>
      <c r="AS27" s="29">
        <f>AR27*(1+НАСТРОЙКИ!$B$11/12)</f>
        <v>430.31401715120501</v>
      </c>
      <c r="AT27" s="29">
        <f>AS27*(1+НАСТРОЙКИ!$B$11/12)</f>
        <v>436.0515373798878</v>
      </c>
      <c r="AU27" s="29">
        <f>AT27*(1+НАСТРОЙКИ!$B$11/12)</f>
        <v>441.86555787828632</v>
      </c>
      <c r="AV27" s="29">
        <f>AU27*(1+НАСТРОЙКИ!$B$11/12)</f>
        <v>447.75709864999686</v>
      </c>
      <c r="AW27" s="29">
        <f>AV27*(1+НАСТРОЙКИ!$B$11/12)</f>
        <v>453.72719329866351</v>
      </c>
      <c r="AX27" s="29">
        <f>AW27*(1+НАСТРОЙКИ!$B$11/12)</f>
        <v>459.7768892093124</v>
      </c>
      <c r="AY27" s="29">
        <f>AX27*(1+НАСТРОЙКИ!$B$11/12)</f>
        <v>465.90724773210326</v>
      </c>
    </row>
    <row r="28" spans="1:51" x14ac:dyDescent="0.35">
      <c r="A28" s="27" t="s">
        <v>94</v>
      </c>
      <c r="B28" s="28" t="s">
        <v>81</v>
      </c>
      <c r="C28" s="29">
        <f>SUM($D$28:$AY$28)</f>
        <v>18658.024926956528</v>
      </c>
      <c r="D28" s="31">
        <v>280</v>
      </c>
      <c r="E28" s="29">
        <f>D28*(1+НАСТРОЙКИ!$B$11/12)</f>
        <v>283.73333333333335</v>
      </c>
      <c r="F28" s="29">
        <f>E28*(1+НАСТРОЙКИ!$B$11/12)</f>
        <v>287.51644444444446</v>
      </c>
      <c r="G28" s="29">
        <f>F28*(1+НАСТРОЙКИ!$B$11/12)</f>
        <v>291.3499970370371</v>
      </c>
      <c r="H28" s="29">
        <f>G28*(1+НАСТРОЙКИ!$B$11/12)</f>
        <v>295.23466366419763</v>
      </c>
      <c r="I28" s="29">
        <f>H28*(1+НАСТРОЙКИ!$B$11/12)</f>
        <v>299.17112584638693</v>
      </c>
      <c r="J28" s="29">
        <f>I28*(1+НАСТРОЙКИ!$B$11/12)</f>
        <v>303.16007419100544</v>
      </c>
      <c r="K28" s="29">
        <f>J28*(1+НАСТРОЙКИ!$B$11/12)</f>
        <v>307.20220851355219</v>
      </c>
      <c r="L28" s="29">
        <f>K28*(1+НАСТРОЙКИ!$B$11/12)</f>
        <v>311.2982379603996</v>
      </c>
      <c r="M28" s="29">
        <f>L28*(1+НАСТРОЙКИ!$B$11/12)</f>
        <v>315.44888113320496</v>
      </c>
      <c r="N28" s="29">
        <f>M28*(1+НАСТРОЙКИ!$B$11/12)</f>
        <v>319.65486621498104</v>
      </c>
      <c r="O28" s="29">
        <f>N28*(1+НАСТРОЙКИ!$B$11/12)</f>
        <v>323.91693109784751</v>
      </c>
      <c r="P28" s="29">
        <f>O28*(1+НАСТРОЙКИ!$B$11/12)</f>
        <v>328.23582351248552</v>
      </c>
      <c r="Q28" s="29">
        <f>P28*(1+НАСТРОЙКИ!$B$11/12)</f>
        <v>332.61230115931869</v>
      </c>
      <c r="R28" s="29">
        <f>Q28*(1+НАСТРОЙКИ!$B$11/12)</f>
        <v>337.04713184144299</v>
      </c>
      <c r="S28" s="29">
        <f>R28*(1+НАСТРОЙКИ!$B$11/12)</f>
        <v>341.54109359932892</v>
      </c>
      <c r="T28" s="29">
        <f>S28*(1+НАСТРОЙКИ!$B$11/12)</f>
        <v>346.09497484731997</v>
      </c>
      <c r="U28" s="29">
        <f>T28*(1+НАСТРОЙКИ!$B$11/12)</f>
        <v>350.70957451195096</v>
      </c>
      <c r="V28" s="29">
        <f>U28*(1+НАСТРОЙКИ!$B$11/12)</f>
        <v>355.38570217211031</v>
      </c>
      <c r="W28" s="29">
        <f>V28*(1+НАСТРОЙКИ!$B$11/12)</f>
        <v>360.1241782010718</v>
      </c>
      <c r="X28" s="29">
        <f>W28*(1+НАСТРОЙКИ!$B$11/12)</f>
        <v>364.92583391041944</v>
      </c>
      <c r="Y28" s="29">
        <f>X28*(1+НАСТРОЙКИ!$B$11/12)</f>
        <v>369.79151169589176</v>
      </c>
      <c r="Z28" s="29">
        <f>Y28*(1+НАСТРОЙКИ!$B$11/12)</f>
        <v>374.72206518517032</v>
      </c>
      <c r="AA28" s="29">
        <f>Z28*(1+НАСТРОЙКИ!$B$11/12)</f>
        <v>379.71835938763928</v>
      </c>
      <c r="AB28" s="29">
        <f>AA28*(1+НАСТРОЙКИ!$B$11/12)</f>
        <v>384.78127084614118</v>
      </c>
      <c r="AC28" s="29">
        <f>AB28*(1+НАСТРОЙКИ!$B$11/12)</f>
        <v>389.91168779075645</v>
      </c>
      <c r="AD28" s="29">
        <f>AC28*(1+НАСТРОЙКИ!$B$11/12)</f>
        <v>395.11051029463323</v>
      </c>
      <c r="AE28" s="29">
        <f>AD28*(1+НАСТРОЙКИ!$B$11/12)</f>
        <v>400.37865043189504</v>
      </c>
      <c r="AF28" s="29">
        <f>AE28*(1+НАСТРОЙКИ!$B$11/12)</f>
        <v>405.7170324376537</v>
      </c>
      <c r="AG28" s="29">
        <f>AF28*(1+НАСТРОЙКИ!$B$11/12)</f>
        <v>411.12659287015578</v>
      </c>
      <c r="AH28" s="29">
        <f>AG28*(1+НАСТРОЙКИ!$B$11/12)</f>
        <v>416.6082807750912</v>
      </c>
      <c r="AI28" s="29">
        <f>AH28*(1+НАСТРОЙКИ!$B$11/12)</f>
        <v>422.16305785209244</v>
      </c>
      <c r="AJ28" s="29">
        <f>AI28*(1+НАСТРОЙКИ!$B$11/12)</f>
        <v>427.79189862345373</v>
      </c>
      <c r="AK28" s="29">
        <f>AJ28*(1+НАСТРОЙКИ!$B$11/12)</f>
        <v>433.49579060509984</v>
      </c>
      <c r="AL28" s="29">
        <f>AK28*(1+НАСТРОЙКИ!$B$11/12)</f>
        <v>439.27573447983457</v>
      </c>
      <c r="AM28" s="29">
        <f>AL28*(1+НАСТРОЙКИ!$B$11/12)</f>
        <v>445.13274427289906</v>
      </c>
      <c r="AN28" s="29">
        <f>AM28*(1+НАСТРОЙКИ!$B$11/12)</f>
        <v>451.06784752987107</v>
      </c>
      <c r="AO28" s="29">
        <f>AN28*(1+НАСТРОЙКИ!$B$11/12)</f>
        <v>457.08208549693609</v>
      </c>
      <c r="AP28" s="29">
        <f>AO28*(1+НАСТРОЙКИ!$B$11/12)</f>
        <v>463.17651330356193</v>
      </c>
      <c r="AQ28" s="29">
        <f>AP28*(1+НАСТРОЙКИ!$B$11/12)</f>
        <v>469.35220014760944</v>
      </c>
      <c r="AR28" s="29">
        <f>AQ28*(1+НАСТРОЙКИ!$B$11/12)</f>
        <v>475.61022948291094</v>
      </c>
      <c r="AS28" s="29">
        <f>AR28*(1+НАСТРОЙКИ!$B$11/12)</f>
        <v>481.95169920934978</v>
      </c>
      <c r="AT28" s="29">
        <f>AS28*(1+НАСТРОЙКИ!$B$11/12)</f>
        <v>488.37772186547448</v>
      </c>
      <c r="AU28" s="29">
        <f>AT28*(1+НАСТРОЙКИ!$B$11/12)</f>
        <v>494.88942482368083</v>
      </c>
      <c r="AV28" s="29">
        <f>AU28*(1+НАСТРОЙКИ!$B$11/12)</f>
        <v>501.48795048799661</v>
      </c>
      <c r="AW28" s="29">
        <f>AV28*(1+НАСТРОЙКИ!$B$11/12)</f>
        <v>508.17445649450326</v>
      </c>
      <c r="AX28" s="29">
        <f>AW28*(1+НАСТРОЙКИ!$B$11/12)</f>
        <v>514.95011591443006</v>
      </c>
      <c r="AY28" s="29">
        <f>AX28*(1+НАСТРОЙКИ!$B$11/12)</f>
        <v>521.81611745995588</v>
      </c>
    </row>
    <row r="29" spans="1:51" x14ac:dyDescent="0.35">
      <c r="A29" s="27" t="s">
        <v>95</v>
      </c>
      <c r="B29" s="28" t="s">
        <v>81</v>
      </c>
      <c r="C29" s="29">
        <f>SUM($D$29:$AY$29)</f>
        <v>21989.815092484489</v>
      </c>
      <c r="D29" s="31">
        <v>330</v>
      </c>
      <c r="E29" s="29">
        <f>D29*(1+НАСТРОЙКИ!$B$11/12)</f>
        <v>334.40000000000003</v>
      </c>
      <c r="F29" s="29">
        <f>E29*(1+НАСТРОЙКИ!$B$11/12)</f>
        <v>338.85866666666675</v>
      </c>
      <c r="G29" s="29">
        <f>F29*(1+НАСТРОЙКИ!$B$11/12)</f>
        <v>343.37678222222235</v>
      </c>
      <c r="H29" s="29">
        <f>G29*(1+НАСТРОЙКИ!$B$11/12)</f>
        <v>347.95513931851866</v>
      </c>
      <c r="I29" s="29">
        <f>H29*(1+НАСТРОЙКИ!$B$11/12)</f>
        <v>352.59454117609891</v>
      </c>
      <c r="J29" s="29">
        <f>I29*(1+НАСТРОЙКИ!$B$11/12)</f>
        <v>357.29580172511362</v>
      </c>
      <c r="K29" s="29">
        <f>J29*(1+НАСТРОЙКИ!$B$11/12)</f>
        <v>362.05974574811518</v>
      </c>
      <c r="L29" s="29">
        <f>K29*(1+НАСТРОЙКИ!$B$11/12)</f>
        <v>366.88720902475677</v>
      </c>
      <c r="M29" s="29">
        <f>L29*(1+НАСТРОЙКИ!$B$11/12)</f>
        <v>371.7790384784202</v>
      </c>
      <c r="N29" s="29">
        <f>M29*(1+НАСТРОЙКИ!$B$11/12)</f>
        <v>376.73609232479919</v>
      </c>
      <c r="O29" s="29">
        <f>N29*(1+НАСТРОЙКИ!$B$11/12)</f>
        <v>381.75924022246323</v>
      </c>
      <c r="P29" s="29">
        <f>O29*(1+НАСТРОЙКИ!$B$11/12)</f>
        <v>386.84936342542943</v>
      </c>
      <c r="Q29" s="29">
        <f>P29*(1+НАСТРОЙКИ!$B$11/12)</f>
        <v>392.00735493776853</v>
      </c>
      <c r="R29" s="29">
        <f>Q29*(1+НАСТРОЙКИ!$B$11/12)</f>
        <v>397.23411967027215</v>
      </c>
      <c r="S29" s="29">
        <f>R29*(1+НАСТРОЙКИ!$B$11/12)</f>
        <v>402.53057459920916</v>
      </c>
      <c r="T29" s="29">
        <f>S29*(1+НАСТРОЙКИ!$B$11/12)</f>
        <v>407.89764892719865</v>
      </c>
      <c r="U29" s="29">
        <f>T29*(1+НАСТРОЙКИ!$B$11/12)</f>
        <v>413.33628424622799</v>
      </c>
      <c r="V29" s="29">
        <f>U29*(1+НАСТРОЙКИ!$B$11/12)</f>
        <v>418.8474347028444</v>
      </c>
      <c r="W29" s="29">
        <f>V29*(1+НАСТРОЙКИ!$B$11/12)</f>
        <v>424.43206716554903</v>
      </c>
      <c r="X29" s="29">
        <f>W29*(1+НАСТРОЙКИ!$B$11/12)</f>
        <v>430.09116139442307</v>
      </c>
      <c r="Y29" s="29">
        <f>X29*(1+НАСТРОЙКИ!$B$11/12)</f>
        <v>435.82571021301544</v>
      </c>
      <c r="Z29" s="29">
        <f>Y29*(1+НАСТРОЙКИ!$B$11/12)</f>
        <v>441.63671968252237</v>
      </c>
      <c r="AA29" s="29">
        <f>Z29*(1+НАСТРОЙКИ!$B$11/12)</f>
        <v>447.52520927828937</v>
      </c>
      <c r="AB29" s="29">
        <f>AA29*(1+НАСТРОЙКИ!$B$11/12)</f>
        <v>453.49221206866662</v>
      </c>
      <c r="AC29" s="29">
        <f>AB29*(1+НАСТРОЙКИ!$B$11/12)</f>
        <v>459.53877489624887</v>
      </c>
      <c r="AD29" s="29">
        <f>AC29*(1+НАСТРОЙКИ!$B$11/12)</f>
        <v>465.66595856153225</v>
      </c>
      <c r="AE29" s="29">
        <f>AD29*(1+НАСТРОЙКИ!$B$11/12)</f>
        <v>471.87483800901941</v>
      </c>
      <c r="AF29" s="29">
        <f>AE29*(1+НАСТРОЙКИ!$B$11/12)</f>
        <v>478.16650251580637</v>
      </c>
      <c r="AG29" s="29">
        <f>AF29*(1+НАСТРОЙКИ!$B$11/12)</f>
        <v>484.54205588268383</v>
      </c>
      <c r="AH29" s="29">
        <f>AG29*(1+НАСТРОЙКИ!$B$11/12)</f>
        <v>491.00261662778632</v>
      </c>
      <c r="AI29" s="29">
        <f>AH29*(1+НАСТРОЙКИ!$B$11/12)</f>
        <v>497.54931818282353</v>
      </c>
      <c r="AJ29" s="29">
        <f>AI29*(1+НАСТРОЙКИ!$B$11/12)</f>
        <v>504.18330909192787</v>
      </c>
      <c r="AK29" s="29">
        <f>AJ29*(1+НАСТРОЙКИ!$B$11/12)</f>
        <v>510.90575321315362</v>
      </c>
      <c r="AL29" s="29">
        <f>AK29*(1+НАСТРОЙКИ!$B$11/12)</f>
        <v>517.71782992266242</v>
      </c>
      <c r="AM29" s="29">
        <f>AL29*(1+НАСТРОЙКИ!$B$11/12)</f>
        <v>524.62073432163129</v>
      </c>
      <c r="AN29" s="29">
        <f>AM29*(1+НАСТРОЙКИ!$B$11/12)</f>
        <v>531.6156774459198</v>
      </c>
      <c r="AO29" s="29">
        <f>AN29*(1+НАСТРОЙКИ!$B$11/12)</f>
        <v>538.70388647853213</v>
      </c>
      <c r="AP29" s="29">
        <f>AO29*(1+НАСТРОЙКИ!$B$11/12)</f>
        <v>545.88660496491264</v>
      </c>
      <c r="AQ29" s="29">
        <f>AP29*(1+НАСТРОЙКИ!$B$11/12)</f>
        <v>553.1650930311115</v>
      </c>
      <c r="AR29" s="29">
        <f>AQ29*(1+НАСТРОЙКИ!$B$11/12)</f>
        <v>560.54062760485965</v>
      </c>
      <c r="AS29" s="29">
        <f>AR29*(1+НАСТРОЙКИ!$B$11/12)</f>
        <v>568.01450263959111</v>
      </c>
      <c r="AT29" s="29">
        <f>AS29*(1+НАСТРОЙКИ!$B$11/12)</f>
        <v>575.5880293414524</v>
      </c>
      <c r="AU29" s="29">
        <f>AT29*(1+НАСТРОЙКИ!$B$11/12)</f>
        <v>583.2625363993385</v>
      </c>
      <c r="AV29" s="29">
        <f>AU29*(1+НАСТРОЙКИ!$B$11/12)</f>
        <v>591.03937021799641</v>
      </c>
      <c r="AW29" s="29">
        <f>AV29*(1+НАСТРОЙКИ!$B$11/12)</f>
        <v>598.91989515423643</v>
      </c>
      <c r="AX29" s="29">
        <f>AW29*(1+НАСТРОЙКИ!$B$11/12)</f>
        <v>606.90549375629291</v>
      </c>
      <c r="AY29" s="29">
        <f>AX29*(1+НАСТРОЙКИ!$B$11/12)</f>
        <v>614.99756700637693</v>
      </c>
    </row>
    <row r="30" spans="1:51" x14ac:dyDescent="0.35">
      <c r="A30" s="37" t="s">
        <v>96</v>
      </c>
      <c r="B30" s="38" t="s">
        <v>81</v>
      </c>
      <c r="C30" s="39">
        <f>SUM($D$30:$AY$30)</f>
        <v>150596.91548186343</v>
      </c>
      <c r="D30" s="39">
        <f t="shared" ref="D30:AY30" si="4">SUM(D25:D29)</f>
        <v>2260</v>
      </c>
      <c r="E30" s="39">
        <f t="shared" si="4"/>
        <v>2290.1333333333332</v>
      </c>
      <c r="F30" s="39">
        <f t="shared" si="4"/>
        <v>2320.6684444444445</v>
      </c>
      <c r="G30" s="39">
        <f t="shared" si="4"/>
        <v>2351.6106903703712</v>
      </c>
      <c r="H30" s="39">
        <f t="shared" si="4"/>
        <v>2382.9654995753094</v>
      </c>
      <c r="I30" s="39">
        <f t="shared" si="4"/>
        <v>2414.7383729029807</v>
      </c>
      <c r="J30" s="39">
        <f t="shared" si="4"/>
        <v>2446.9348845416871</v>
      </c>
      <c r="K30" s="39">
        <f t="shared" si="4"/>
        <v>2479.5606830022434</v>
      </c>
      <c r="L30" s="39">
        <f t="shared" si="4"/>
        <v>2512.6214921089399</v>
      </c>
      <c r="M30" s="39">
        <f t="shared" si="4"/>
        <v>2546.123112003726</v>
      </c>
      <c r="N30" s="39">
        <f t="shared" si="4"/>
        <v>2580.0714201637757</v>
      </c>
      <c r="O30" s="39">
        <f t="shared" si="4"/>
        <v>2614.4723724326263</v>
      </c>
      <c r="P30" s="39">
        <f t="shared" si="4"/>
        <v>2649.3320040650619</v>
      </c>
      <c r="Q30" s="39">
        <f t="shared" si="4"/>
        <v>2684.6564307859294</v>
      </c>
      <c r="R30" s="39">
        <f t="shared" si="4"/>
        <v>2720.4518498630755</v>
      </c>
      <c r="S30" s="39">
        <f t="shared" si="4"/>
        <v>2756.7245411945833</v>
      </c>
      <c r="T30" s="39">
        <f t="shared" si="4"/>
        <v>2793.480868410511</v>
      </c>
      <c r="U30" s="39">
        <f t="shared" si="4"/>
        <v>2830.727279989318</v>
      </c>
      <c r="V30" s="39">
        <f t="shared" si="4"/>
        <v>2868.4703103891757</v>
      </c>
      <c r="W30" s="39">
        <f t="shared" si="4"/>
        <v>2906.7165811943655</v>
      </c>
      <c r="X30" s="39">
        <f t="shared" si="4"/>
        <v>2945.4728022769568</v>
      </c>
      <c r="Y30" s="39">
        <f t="shared" si="4"/>
        <v>2984.7457729739831</v>
      </c>
      <c r="Z30" s="39">
        <f t="shared" si="4"/>
        <v>3024.5423832803031</v>
      </c>
      <c r="AA30" s="39">
        <f t="shared" si="4"/>
        <v>3064.8696150573742</v>
      </c>
      <c r="AB30" s="39">
        <f t="shared" si="4"/>
        <v>3105.7345432581392</v>
      </c>
      <c r="AC30" s="39">
        <f t="shared" si="4"/>
        <v>3147.1443371682485</v>
      </c>
      <c r="AD30" s="39">
        <f t="shared" si="4"/>
        <v>3189.1062616638251</v>
      </c>
      <c r="AE30" s="39">
        <f t="shared" si="4"/>
        <v>3231.6276784860102</v>
      </c>
      <c r="AF30" s="39">
        <f t="shared" si="4"/>
        <v>3274.7160475324908</v>
      </c>
      <c r="AG30" s="39">
        <f t="shared" si="4"/>
        <v>3318.3789281662575</v>
      </c>
      <c r="AH30" s="39">
        <f t="shared" si="4"/>
        <v>3362.6239805418077</v>
      </c>
      <c r="AI30" s="39">
        <f t="shared" si="4"/>
        <v>3407.4589669490324</v>
      </c>
      <c r="AJ30" s="39">
        <f t="shared" si="4"/>
        <v>3452.8917531750194</v>
      </c>
      <c r="AK30" s="39">
        <f t="shared" si="4"/>
        <v>3498.9303098840205</v>
      </c>
      <c r="AL30" s="39">
        <f t="shared" si="4"/>
        <v>3545.5827140158081</v>
      </c>
      <c r="AM30" s="39">
        <f t="shared" si="4"/>
        <v>3592.8571502026853</v>
      </c>
      <c r="AN30" s="39">
        <f t="shared" si="4"/>
        <v>3640.7619122053875</v>
      </c>
      <c r="AO30" s="39">
        <f t="shared" si="4"/>
        <v>3689.3054043681273</v>
      </c>
      <c r="AP30" s="39">
        <f t="shared" si="4"/>
        <v>3738.4961430930352</v>
      </c>
      <c r="AQ30" s="39">
        <f t="shared" si="4"/>
        <v>3788.3427583342764</v>
      </c>
      <c r="AR30" s="39">
        <f t="shared" si="4"/>
        <v>3838.8539951120674</v>
      </c>
      <c r="AS30" s="39">
        <f t="shared" si="4"/>
        <v>3890.038715046895</v>
      </c>
      <c r="AT30" s="39">
        <f t="shared" si="4"/>
        <v>3941.9058979141873</v>
      </c>
      <c r="AU30" s="39">
        <f t="shared" si="4"/>
        <v>3994.4646432197101</v>
      </c>
      <c r="AV30" s="39">
        <f t="shared" si="4"/>
        <v>4047.7241717959732</v>
      </c>
      <c r="AW30" s="39">
        <f t="shared" si="4"/>
        <v>4101.6938274199201</v>
      </c>
      <c r="AX30" s="39">
        <f t="shared" si="4"/>
        <v>4156.3830784521851</v>
      </c>
      <c r="AY30" s="39">
        <f t="shared" si="4"/>
        <v>4211.8015194982154</v>
      </c>
    </row>
    <row r="31" spans="1:51" ht="16" customHeight="1" x14ac:dyDescent="0.35">
      <c r="A31" s="4" t="s">
        <v>97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x14ac:dyDescent="0.35">
      <c r="A32" s="40" t="s">
        <v>98</v>
      </c>
    </row>
    <row r="33" spans="1:51" x14ac:dyDescent="0.35">
      <c r="A33" s="27" t="s">
        <v>99</v>
      </c>
      <c r="B33" s="28" t="s">
        <v>81</v>
      </c>
      <c r="C33" s="29">
        <f>SUM($D$33:$AY$33)</f>
        <v>32000</v>
      </c>
      <c r="D33" s="42">
        <v>4923</v>
      </c>
      <c r="E33" s="42">
        <v>4513</v>
      </c>
      <c r="F33" s="42">
        <v>4103</v>
      </c>
      <c r="G33" s="42">
        <v>3692</v>
      </c>
      <c r="H33" s="42">
        <v>3282</v>
      </c>
      <c r="I33" s="42">
        <v>2872</v>
      </c>
      <c r="J33" s="42">
        <v>2462</v>
      </c>
      <c r="K33" s="42">
        <v>2051</v>
      </c>
      <c r="L33" s="42">
        <v>1641</v>
      </c>
      <c r="M33" s="42">
        <v>1231</v>
      </c>
      <c r="N33" s="42">
        <v>821</v>
      </c>
      <c r="O33" s="42">
        <v>409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0">
        <v>0</v>
      </c>
      <c r="AX33" s="30">
        <v>0</v>
      </c>
      <c r="AY33" s="30">
        <v>0</v>
      </c>
    </row>
  </sheetData>
  <mergeCells count="1">
    <mergeCell ref="A1:AY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75623"/>
  </sheetPr>
  <dimension ref="A1:AY35"/>
  <sheetViews>
    <sheetView tabSelected="1" workbookViewId="0">
      <pane xSplit="3" ySplit="5" topLeftCell="D38" activePane="bottomRight" state="frozen"/>
      <selection pane="topRight"/>
      <selection pane="bottomLeft"/>
      <selection pane="bottomRight" activeCell="F42" sqref="F42"/>
    </sheetView>
  </sheetViews>
  <sheetFormatPr defaultRowHeight="14.5" x14ac:dyDescent="0.35"/>
  <cols>
    <col min="1" max="1" width="38" customWidth="1"/>
    <col min="2" max="2" width="12" customWidth="1"/>
    <col min="3" max="3" width="14" customWidth="1"/>
    <col min="4" max="51" width="10.453125" customWidth="1"/>
  </cols>
  <sheetData>
    <row r="1" spans="1:51" ht="26" customHeight="1" x14ac:dyDescent="0.35">
      <c r="A1" s="95" t="s">
        <v>100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</row>
    <row r="3" spans="1:51" x14ac:dyDescent="0.35">
      <c r="A3" s="17" t="s">
        <v>70</v>
      </c>
      <c r="B3" s="18" t="s">
        <v>71</v>
      </c>
      <c r="C3" s="18" t="s">
        <v>72</v>
      </c>
    </row>
    <row r="4" spans="1:51" x14ac:dyDescent="0.35">
      <c r="A4" s="19"/>
      <c r="B4" s="19"/>
      <c r="C4" s="20" t="s">
        <v>72</v>
      </c>
      <c r="D4" s="21">
        <v>45658</v>
      </c>
      <c r="E4" s="21">
        <v>45689</v>
      </c>
      <c r="F4" s="21">
        <v>45717</v>
      </c>
      <c r="G4" s="21">
        <v>45748</v>
      </c>
      <c r="H4" s="21">
        <v>45778</v>
      </c>
      <c r="I4" s="21">
        <v>45809</v>
      </c>
      <c r="J4" s="21">
        <v>45839</v>
      </c>
      <c r="K4" s="21">
        <v>45870</v>
      </c>
      <c r="L4" s="21">
        <v>45901</v>
      </c>
      <c r="M4" s="21">
        <v>45931</v>
      </c>
      <c r="N4" s="21">
        <v>45962</v>
      </c>
      <c r="O4" s="21">
        <v>45992</v>
      </c>
      <c r="P4" s="22">
        <v>46023</v>
      </c>
      <c r="Q4" s="22">
        <v>46054</v>
      </c>
      <c r="R4" s="22">
        <v>46082</v>
      </c>
      <c r="S4" s="22">
        <v>46113</v>
      </c>
      <c r="T4" s="22">
        <v>46143</v>
      </c>
      <c r="U4" s="22">
        <v>46174</v>
      </c>
      <c r="V4" s="22">
        <v>46204</v>
      </c>
      <c r="W4" s="22">
        <v>46235</v>
      </c>
      <c r="X4" s="22">
        <v>46266</v>
      </c>
      <c r="Y4" s="22">
        <v>46296</v>
      </c>
      <c r="Z4" s="22">
        <v>46327</v>
      </c>
      <c r="AA4" s="22">
        <v>46357</v>
      </c>
      <c r="AB4" s="22">
        <v>46388</v>
      </c>
      <c r="AC4" s="22">
        <v>46419</v>
      </c>
      <c r="AD4" s="22">
        <v>46447</v>
      </c>
      <c r="AE4" s="22">
        <v>46478</v>
      </c>
      <c r="AF4" s="22">
        <v>46508</v>
      </c>
      <c r="AG4" s="22">
        <v>46539</v>
      </c>
      <c r="AH4" s="22">
        <v>46569</v>
      </c>
      <c r="AI4" s="22">
        <v>46600</v>
      </c>
      <c r="AJ4" s="22">
        <v>46631</v>
      </c>
      <c r="AK4" s="22">
        <v>46661</v>
      </c>
      <c r="AL4" s="22">
        <v>46692</v>
      </c>
      <c r="AM4" s="22">
        <v>46722</v>
      </c>
      <c r="AN4" s="22">
        <v>46753</v>
      </c>
      <c r="AO4" s="22">
        <v>46784</v>
      </c>
      <c r="AP4" s="22">
        <v>46813</v>
      </c>
      <c r="AQ4" s="22">
        <v>46844</v>
      </c>
      <c r="AR4" s="22">
        <v>46874</v>
      </c>
      <c r="AS4" s="22">
        <v>46905</v>
      </c>
      <c r="AT4" s="22">
        <v>46935</v>
      </c>
      <c r="AU4" s="22">
        <v>46966</v>
      </c>
      <c r="AV4" s="22">
        <v>46997</v>
      </c>
      <c r="AW4" s="22">
        <v>47027</v>
      </c>
      <c r="AX4" s="22">
        <v>47058</v>
      </c>
      <c r="AY4" s="22">
        <v>47088</v>
      </c>
    </row>
    <row r="5" spans="1:51" x14ac:dyDescent="0.35">
      <c r="A5" s="19"/>
      <c r="B5" s="19"/>
      <c r="C5" s="19"/>
      <c r="D5" s="23">
        <v>1</v>
      </c>
      <c r="E5" s="23">
        <v>2</v>
      </c>
      <c r="F5" s="23">
        <v>3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  <c r="N5" s="23">
        <v>11</v>
      </c>
      <c r="O5" s="23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4">
        <v>24</v>
      </c>
      <c r="AB5" s="24">
        <v>25</v>
      </c>
      <c r="AC5" s="24">
        <v>26</v>
      </c>
      <c r="AD5" s="24">
        <v>27</v>
      </c>
      <c r="AE5" s="24">
        <v>28</v>
      </c>
      <c r="AF5" s="24">
        <v>29</v>
      </c>
      <c r="AG5" s="24">
        <v>30</v>
      </c>
      <c r="AH5" s="24">
        <v>31</v>
      </c>
      <c r="AI5" s="24">
        <v>32</v>
      </c>
      <c r="AJ5" s="24">
        <v>33</v>
      </c>
      <c r="AK5" s="24">
        <v>34</v>
      </c>
      <c r="AL5" s="24">
        <v>35</v>
      </c>
      <c r="AM5" s="24">
        <v>36</v>
      </c>
      <c r="AN5" s="24">
        <v>37</v>
      </c>
      <c r="AO5" s="24">
        <v>38</v>
      </c>
      <c r="AP5" s="24">
        <v>39</v>
      </c>
      <c r="AQ5" s="24">
        <v>40</v>
      </c>
      <c r="AR5" s="24">
        <v>41</v>
      </c>
      <c r="AS5" s="24">
        <v>42</v>
      </c>
      <c r="AT5" s="24">
        <v>43</v>
      </c>
      <c r="AU5" s="24">
        <v>44</v>
      </c>
      <c r="AV5" s="24">
        <v>45</v>
      </c>
      <c r="AW5" s="24">
        <v>46</v>
      </c>
      <c r="AX5" s="24">
        <v>47</v>
      </c>
      <c r="AY5" s="24">
        <v>48</v>
      </c>
    </row>
    <row r="6" spans="1:51" ht="16" customHeight="1" x14ac:dyDescent="0.35">
      <c r="A6" s="43" t="s">
        <v>73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</row>
    <row r="7" spans="1:51" x14ac:dyDescent="0.35">
      <c r="A7" s="35" t="s">
        <v>101</v>
      </c>
      <c r="B7" s="28" t="s">
        <v>81</v>
      </c>
      <c r="C7" s="36">
        <f>SUM($D$7:$AY$7)</f>
        <v>483927.67231998098</v>
      </c>
      <c r="D7" s="45">
        <f>ДОПУЩЕНИЯ!$D$20</f>
        <v>0</v>
      </c>
      <c r="E7" s="45">
        <f>ДОПУЩЕНИЯ!$E$20</f>
        <v>0</v>
      </c>
      <c r="F7" s="45">
        <f>ДОПУЩЕНИЯ!$F$20</f>
        <v>0</v>
      </c>
      <c r="G7" s="45">
        <f>ДОПУЩЕНИЯ!$G$20</f>
        <v>0</v>
      </c>
      <c r="H7" s="45">
        <f>ДОПУЩЕНИЯ!$H$20</f>
        <v>0</v>
      </c>
      <c r="I7" s="45">
        <f>ДОПУЩЕНИЯ!$I$20</f>
        <v>0</v>
      </c>
      <c r="J7" s="45">
        <f>ДОПУЩЕНИЯ!$J$20</f>
        <v>0</v>
      </c>
      <c r="K7" s="45">
        <f>ДОПУЩЕНИЯ!$K$20</f>
        <v>0</v>
      </c>
      <c r="L7" s="45">
        <f>ДОПУЩЕНИЯ!$L$20</f>
        <v>0</v>
      </c>
      <c r="M7" s="45">
        <f>ДОПУЩЕНИЯ!$M$20</f>
        <v>0</v>
      </c>
      <c r="N7" s="45">
        <f>ДОПУЩЕНИЯ!$N$20</f>
        <v>0</v>
      </c>
      <c r="O7" s="45">
        <f>ДОПУЩЕНИЯ!$O$20</f>
        <v>0</v>
      </c>
      <c r="P7" s="45">
        <f>ДОПУЩЕНИЯ!$P$20</f>
        <v>514.83788917933339</v>
      </c>
      <c r="Q7" s="45">
        <f>ДОПУЩЕНИЯ!$Q$20</f>
        <v>1042.5851369946399</v>
      </c>
      <c r="R7" s="45">
        <f>ДОПУЩЕНИЯ!$R$20</f>
        <v>1585.1446984478719</v>
      </c>
      <c r="S7" s="45">
        <f>ДОПУЩЕНИЯ!$S$20</f>
        <v>2140.8405641615932</v>
      </c>
      <c r="T7" s="45">
        <f>ДОПУЩЕНИЯ!$T$20</f>
        <v>2712.2350730651024</v>
      </c>
      <c r="U7" s="45">
        <f>ДОПУЩЕНИЯ!$U$20</f>
        <v>3297.6219264002993</v>
      </c>
      <c r="V7" s="45">
        <f>ДОПУЩЕНИЯ!$V$20</f>
        <v>3899.0126926092585</v>
      </c>
      <c r="W7" s="45">
        <f>ДОПУЩЕНИЯ!$W$20</f>
        <v>4514.9668531513871</v>
      </c>
      <c r="X7" s="45">
        <f>ДОПУЩЕНИЯ!$X$20</f>
        <v>5147.552581681899</v>
      </c>
      <c r="Y7" s="45">
        <f>ДОПУЩЕНИЯ!$Y$20</f>
        <v>5795.2933302597939</v>
      </c>
      <c r="Z7" s="45">
        <f>ДОПУЩЕНИЯ!$Z$20</f>
        <v>6459.9808939670438</v>
      </c>
      <c r="AA7" s="45">
        <f>ДОПУЩЕНИЯ!$AA$20</f>
        <v>7140.7664847242941</v>
      </c>
      <c r="AB7" s="45">
        <f>ДОПУЩЕНИЯ!$AB$20</f>
        <v>7868.8594419330529</v>
      </c>
      <c r="AC7" s="45">
        <f>ДОПУЩЕНИЯ!$AC$20</f>
        <v>8616.0595955388162</v>
      </c>
      <c r="AD7" s="45">
        <f>ДОПУЩЕНИЯ!$AD$20</f>
        <v>9380.8125130427543</v>
      </c>
      <c r="AE7" s="45">
        <f>ДОПУЩЕНИЯ!$AE$20</f>
        <v>10164.427097752032</v>
      </c>
      <c r="AF7" s="45">
        <f>ДОПУЩЕНИЯ!$AF$20</f>
        <v>10968.270174071651</v>
      </c>
      <c r="AG7" s="45">
        <f>ДОПУЩЕНИЯ!$AG$20</f>
        <v>11790.7289231084</v>
      </c>
      <c r="AH7" s="45">
        <f>ДОПУЩЕНИЯ!$AH$20</f>
        <v>12632.798019075915</v>
      </c>
      <c r="AI7" s="45">
        <f>ДОПУЩЕНИЯ!$AI$20</f>
        <v>13496.643423043788</v>
      </c>
      <c r="AJ7" s="45">
        <f>ДОПУЩЕНИЯ!$AJ$20</f>
        <v>14380.22467222739</v>
      </c>
      <c r="AK7" s="45">
        <f>ДОПУЩЕНИЯ!$AK$20</f>
        <v>15284.968684780686</v>
      </c>
      <c r="AL7" s="45">
        <f>ДОПУЩЕНИЯ!$AL$20</f>
        <v>16212.365220866337</v>
      </c>
      <c r="AM7" s="45">
        <f>ДОПУЩЕНИЯ!$AM$20</f>
        <v>17160.678069218746</v>
      </c>
      <c r="AN7" s="45">
        <f>ДОПУЩЕНИЯ!$AN$20</f>
        <v>18168.835693277382</v>
      </c>
      <c r="AO7" s="45">
        <f>ДОПУЩЕНИЯ!$AO$20</f>
        <v>19200.418624427039</v>
      </c>
      <c r="AP7" s="45">
        <f>ДОПУЩЕНИЯ!$AP$20</f>
        <v>20257.835368229553</v>
      </c>
      <c r="AQ7" s="45">
        <f>ДОПУЩЕНИЯ!$AQ$20</f>
        <v>21338.460801725138</v>
      </c>
      <c r="AR7" s="45">
        <f>ДОПУЩЕНИЯ!$AR$20</f>
        <v>22444.726172483533</v>
      </c>
      <c r="AS7" s="45">
        <f>ДОПУЩЕНИЯ!$AS$20</f>
        <v>23576.268134969141</v>
      </c>
      <c r="AT7" s="45">
        <f>ДОПУЩЕНИЯ!$AT$20</f>
        <v>24734.430427783296</v>
      </c>
      <c r="AU7" s="45">
        <f>ДОПУЩЕНИЯ!$AU$20</f>
        <v>25919.285711848504</v>
      </c>
      <c r="AV7" s="45">
        <f>ДОПУЩЕНИЯ!$AV$20</f>
        <v>27132.127957239696</v>
      </c>
      <c r="AW7" s="45">
        <f>ДОПУЩЕНИЯ!$AW$20</f>
        <v>28371.906229632335</v>
      </c>
      <c r="AX7" s="45">
        <f>ДОПУЩЕНИЯ!$AX$20</f>
        <v>29639.461989651623</v>
      </c>
      <c r="AY7" s="45">
        <f>ДОПУЩЕНИЯ!$AY$20</f>
        <v>30936.241249411658</v>
      </c>
    </row>
    <row r="9" spans="1:51" ht="16" customHeight="1" x14ac:dyDescent="0.35">
      <c r="A9" s="43" t="s">
        <v>102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</row>
    <row r="10" spans="1:51" x14ac:dyDescent="0.35">
      <c r="A10" s="27" t="s">
        <v>90</v>
      </c>
      <c r="B10" s="28" t="s">
        <v>81</v>
      </c>
      <c r="C10" s="29">
        <f>SUM($D$10:$AY$10)</f>
        <v>203249.62237439197</v>
      </c>
      <c r="D10" s="46">
        <f>ДОПУЩЕНИЯ!$D$24</f>
        <v>0</v>
      </c>
      <c r="E10" s="46">
        <f>ДОПУЩЕНИЯ!$E$24</f>
        <v>0</v>
      </c>
      <c r="F10" s="46">
        <f>ДОПУЩЕНИЯ!$F$24</f>
        <v>0</v>
      </c>
      <c r="G10" s="46">
        <f>ДОПУЩЕНИЯ!$G$24</f>
        <v>0</v>
      </c>
      <c r="H10" s="46">
        <f>ДОПУЩЕНИЯ!$H$24</f>
        <v>0</v>
      </c>
      <c r="I10" s="46">
        <f>ДОПУЩЕНИЯ!$I$24</f>
        <v>0</v>
      </c>
      <c r="J10" s="46">
        <f>ДОПУЩЕНИЯ!$J$24</f>
        <v>0</v>
      </c>
      <c r="K10" s="46">
        <f>ДОПУЩЕНИЯ!$K$24</f>
        <v>0</v>
      </c>
      <c r="L10" s="46">
        <f>ДОПУЩЕНИЯ!$L$24</f>
        <v>0</v>
      </c>
      <c r="M10" s="46">
        <f>ДОПУЩЕНИЯ!$M$24</f>
        <v>0</v>
      </c>
      <c r="N10" s="46">
        <f>ДОПУЩЕНИЯ!$N$24</f>
        <v>0</v>
      </c>
      <c r="O10" s="46">
        <f>ДОПУЩЕНИЯ!$O$24</f>
        <v>0</v>
      </c>
      <c r="P10" s="46">
        <f>ДОПУЩЕНИЯ!$P$24</f>
        <v>216.23191345532001</v>
      </c>
      <c r="Q10" s="46">
        <f>ДОПУЩЕНИЯ!$Q$24</f>
        <v>437.88575753774876</v>
      </c>
      <c r="R10" s="46">
        <f>ДОПУЩЕНИЯ!$R$24</f>
        <v>665.76077334810611</v>
      </c>
      <c r="S10" s="46">
        <f>ДОПУЩЕНИЯ!$S$24</f>
        <v>899.15303694786905</v>
      </c>
      <c r="T10" s="46">
        <f>ДОПУЩЕНИЯ!$T$24</f>
        <v>1139.138730687343</v>
      </c>
      <c r="U10" s="46">
        <f>ДОПУЩЕНИЯ!$U$24</f>
        <v>1385.0012090881257</v>
      </c>
      <c r="V10" s="46">
        <f>ДОПУЩЕНИЯ!$V$24</f>
        <v>1637.5853308958885</v>
      </c>
      <c r="W10" s="46">
        <f>ДОПУЩЕНИЯ!$W$24</f>
        <v>1896.2860783235826</v>
      </c>
      <c r="X10" s="46">
        <f>ДОПУЩЕНИЯ!$X$24</f>
        <v>2161.9720843063974</v>
      </c>
      <c r="Y10" s="46">
        <f>ДОПУЩЕНИЯ!$Y$24</f>
        <v>2434.0231987091133</v>
      </c>
      <c r="Z10" s="46">
        <f>ДОПУЩЕНИЯ!$Z$24</f>
        <v>2713.1919754661585</v>
      </c>
      <c r="AA10" s="46">
        <f>ДОПУЩЕНИЯ!$AA$24</f>
        <v>2999.1219235842036</v>
      </c>
      <c r="AB10" s="46">
        <f>ДОПУЩЕНИЯ!$AB$24</f>
        <v>3304.9209656118819</v>
      </c>
      <c r="AC10" s="46">
        <f>ДОПУЩЕНИЯ!$AC$24</f>
        <v>3618.7450301263025</v>
      </c>
      <c r="AD10" s="46">
        <f>ДОПУЩЕНИЯ!$AD$24</f>
        <v>3939.9412554779565</v>
      </c>
      <c r="AE10" s="46">
        <f>ДОПУЩЕНИЯ!$AE$24</f>
        <v>4269.059381055853</v>
      </c>
      <c r="AF10" s="46">
        <f>ДОПУЩЕНИЯ!$AF$24</f>
        <v>4606.6734731100933</v>
      </c>
      <c r="AG10" s="46">
        <f>ДОПУЩЕНИЯ!$AG$24</f>
        <v>4952.1061477055273</v>
      </c>
      <c r="AH10" s="46">
        <f>ДОПУЩЕНИЯ!$AH$24</f>
        <v>5305.7751680118845</v>
      </c>
      <c r="AI10" s="46">
        <f>ДОПУЩЕНИЯ!$AI$24</f>
        <v>5668.5902376783906</v>
      </c>
      <c r="AJ10" s="46">
        <f>ДОПУЩЕНИЯ!$AJ$24</f>
        <v>6039.6943623355037</v>
      </c>
      <c r="AK10" s="46">
        <f>ДОПУЩЕНИЯ!$AK$24</f>
        <v>6419.686847607888</v>
      </c>
      <c r="AL10" s="46">
        <f>ДОПУЩЕНИЯ!$AL$24</f>
        <v>6809.1933927638611</v>
      </c>
      <c r="AM10" s="46">
        <f>ДОПУЩЕНИЯ!$AM$24</f>
        <v>7207.4847890718729</v>
      </c>
      <c r="AN10" s="46">
        <f>ДОПУЩЕНИЯ!$AN$24</f>
        <v>7630.9109911764999</v>
      </c>
      <c r="AO10" s="46">
        <f>ДОПУЩЕНИЯ!$AO$24</f>
        <v>8064.1758222593562</v>
      </c>
      <c r="AP10" s="46">
        <f>ДОПУЩЕНИЯ!$AP$24</f>
        <v>8508.2908546564122</v>
      </c>
      <c r="AQ10" s="46">
        <f>ДОПУЩЕНИЯ!$AQ$24</f>
        <v>8962.1535367245579</v>
      </c>
      <c r="AR10" s="46">
        <f>ДОПУЩЕНИЯ!$AR$24</f>
        <v>9426.784992443083</v>
      </c>
      <c r="AS10" s="46">
        <f>ДОПУЩЕНИЯ!$AS$24</f>
        <v>9902.0326166870382</v>
      </c>
      <c r="AT10" s="46">
        <f>ДОПУЩЕНИЯ!$AT$24</f>
        <v>10388.460779668983</v>
      </c>
      <c r="AU10" s="46">
        <f>ДОПУЩЕНИЯ!$AU$24</f>
        <v>10886.099998976371</v>
      </c>
      <c r="AV10" s="46">
        <f>ДОПУЩЕНИЯ!$AV$24</f>
        <v>11395.493742040671</v>
      </c>
      <c r="AW10" s="46">
        <f>ДОПУЩЕНИЯ!$AW$24</f>
        <v>11916.20061644558</v>
      </c>
      <c r="AX10" s="46">
        <f>ДОПУЩЕНИЯ!$AX$24</f>
        <v>12448.574035653681</v>
      </c>
      <c r="AY10" s="46">
        <f>ДОПУЩЕНИЯ!$AY$24</f>
        <v>12993.221324752896</v>
      </c>
    </row>
    <row r="11" spans="1:51" x14ac:dyDescent="0.35">
      <c r="A11" s="27" t="s">
        <v>103</v>
      </c>
      <c r="B11" s="28" t="s">
        <v>81</v>
      </c>
      <c r="C11" s="29">
        <f>SUM($D$11:$AY$11)</f>
        <v>54641.35871465841</v>
      </c>
      <c r="D11" s="46">
        <f>ДОПУЩЕНИЯ!$D$25</f>
        <v>820</v>
      </c>
      <c r="E11" s="46">
        <f>ДОПУЩЕНИЯ!$E$25</f>
        <v>830.93333333333339</v>
      </c>
      <c r="F11" s="46">
        <f>ДОПУЩЕНИЯ!$F$25</f>
        <v>842.01244444444455</v>
      </c>
      <c r="G11" s="46">
        <f>ДОПУЩЕНИЯ!$G$25</f>
        <v>853.23927703703725</v>
      </c>
      <c r="H11" s="46">
        <f>ДОПУЩЕНИЯ!$H$25</f>
        <v>864.61580073086452</v>
      </c>
      <c r="I11" s="46">
        <f>ДОПУЩЕНИЯ!$I$25</f>
        <v>876.14401140727614</v>
      </c>
      <c r="J11" s="46">
        <f>ДОПУЩЕНИЯ!$J$25</f>
        <v>887.8259315593732</v>
      </c>
      <c r="K11" s="46">
        <f>ДОПУЩЕНИЯ!$K$25</f>
        <v>899.66361064683156</v>
      </c>
      <c r="L11" s="46">
        <f>ДОПУЩЕНИЯ!$L$25</f>
        <v>911.65912545545609</v>
      </c>
      <c r="M11" s="46">
        <f>ДОПУЩЕНИЯ!$M$25</f>
        <v>923.81458046152886</v>
      </c>
      <c r="N11" s="46">
        <f>ДОПУЩЕНИЯ!$N$25</f>
        <v>936.13210820101597</v>
      </c>
      <c r="O11" s="46">
        <f>ДОПУЩЕНИЯ!$O$25</f>
        <v>948.61386964369626</v>
      </c>
      <c r="P11" s="46">
        <f>ДОПУЩЕНИЯ!$P$25</f>
        <v>961.262054572279</v>
      </c>
      <c r="Q11" s="46">
        <f>ДОПУЩЕНИЯ!$Q$25</f>
        <v>974.07888196657609</v>
      </c>
      <c r="R11" s="46">
        <f>ДОПУЩЕНИЯ!$R$25</f>
        <v>987.06660039279723</v>
      </c>
      <c r="S11" s="46">
        <f>ДОПУЩЕНИЯ!$S$25</f>
        <v>1000.2274883980346</v>
      </c>
      <c r="T11" s="46">
        <f>ДОПУЩЕНИЯ!$T$25</f>
        <v>1013.5638549100084</v>
      </c>
      <c r="U11" s="46">
        <f>ДОПУЩЕНИЯ!$U$25</f>
        <v>1027.0780396421419</v>
      </c>
      <c r="V11" s="46">
        <f>ДОПУЩЕНИЯ!$V$25</f>
        <v>1040.7724135040371</v>
      </c>
      <c r="W11" s="46">
        <f>ДОПУЩЕНИЯ!$W$25</f>
        <v>1054.6493790174243</v>
      </c>
      <c r="X11" s="46">
        <f>ДОПУЩЕНИЯ!$X$25</f>
        <v>1068.7113707376568</v>
      </c>
      <c r="Y11" s="46">
        <f>ДОПУЩЕНИЯ!$Y$25</f>
        <v>1082.9608556808257</v>
      </c>
      <c r="Z11" s="46">
        <f>ДОПУЩЕНИЯ!$Z$25</f>
        <v>1097.4003337565703</v>
      </c>
      <c r="AA11" s="46">
        <f>ДОПУЩЕНИЯ!$AA$25</f>
        <v>1112.0323382066579</v>
      </c>
      <c r="AB11" s="46">
        <f>ДОПУЩЕНИЯ!$AB$25</f>
        <v>1126.8594360494135</v>
      </c>
      <c r="AC11" s="46">
        <f>ДОПУЩЕНИЯ!$AC$25</f>
        <v>1141.8842285300725</v>
      </c>
      <c r="AD11" s="46">
        <f>ДОПУЩЕНИЯ!$AD$25</f>
        <v>1157.1093515771402</v>
      </c>
      <c r="AE11" s="46">
        <f>ДОПУЩЕНИЯ!$AE$25</f>
        <v>1172.5374762648355</v>
      </c>
      <c r="AF11" s="46">
        <f>ДОПУЩЕНИЯ!$AF$25</f>
        <v>1188.1713092817001</v>
      </c>
      <c r="AG11" s="46">
        <f>ДОПУЩЕНИЯ!$AG$25</f>
        <v>1204.0135934054563</v>
      </c>
      <c r="AH11" s="46">
        <f>ДОПУЩЕНИЯ!$AH$25</f>
        <v>1220.0671079841959</v>
      </c>
      <c r="AI11" s="46">
        <f>ДОПУЩЕНИЯ!$AI$25</f>
        <v>1236.3346694239854</v>
      </c>
      <c r="AJ11" s="46">
        <f>ДОПУЩЕНИЯ!$AJ$25</f>
        <v>1252.8191316829718</v>
      </c>
      <c r="AK11" s="46">
        <f>ДОПУЩЕНИЯ!$AK$25</f>
        <v>1269.5233867720783</v>
      </c>
      <c r="AL11" s="46">
        <f>ДОПУЩЕНИЯ!$AL$25</f>
        <v>1286.4503652623728</v>
      </c>
      <c r="AM11" s="46">
        <f>ДОПУЩЕНИЯ!$AM$25</f>
        <v>1303.6030367992046</v>
      </c>
      <c r="AN11" s="46">
        <f>ДОПУЩЕНИЯ!$AN$25</f>
        <v>1320.984410623194</v>
      </c>
      <c r="AO11" s="46">
        <f>ДОПУЩЕНИЯ!$AO$25</f>
        <v>1338.5975360981699</v>
      </c>
      <c r="AP11" s="46">
        <f>ДОПУЩЕНИЯ!$AP$25</f>
        <v>1356.4455032461456</v>
      </c>
      <c r="AQ11" s="46">
        <f>ДОПУЩЕНИЯ!$AQ$25</f>
        <v>1374.5314432894277</v>
      </c>
      <c r="AR11" s="46">
        <f>ДОПУЩЕНИЯ!$AR$25</f>
        <v>1392.8585291999534</v>
      </c>
      <c r="AS11" s="46">
        <f>ДОПУЩЕНИЯ!$AS$25</f>
        <v>1411.4299762559529</v>
      </c>
      <c r="AT11" s="46">
        <f>ДОПУЩЕНИЯ!$AT$25</f>
        <v>1430.2490426060324</v>
      </c>
      <c r="AU11" s="46">
        <f>ДОПУЩЕНИЯ!$AU$25</f>
        <v>1449.3190298407796</v>
      </c>
      <c r="AV11" s="46">
        <f>ДОПУЩЕНИЯ!$AV$25</f>
        <v>1468.6432835719902</v>
      </c>
      <c r="AW11" s="46">
        <f>ДОПУЩЕНИЯ!$AW$25</f>
        <v>1488.2251940196168</v>
      </c>
      <c r="AX11" s="46">
        <f>ДОПУЩЕНИЯ!$AX$25</f>
        <v>1508.0681966065451</v>
      </c>
      <c r="AY11" s="46">
        <f>ДОПУЩЕНИЯ!$AY$25</f>
        <v>1528.1757725612993</v>
      </c>
    </row>
    <row r="12" spans="1:51" x14ac:dyDescent="0.35">
      <c r="A12" s="37" t="s">
        <v>104</v>
      </c>
      <c r="B12" s="38" t="s">
        <v>81</v>
      </c>
      <c r="C12" s="39">
        <f>SUM($D$12:$AY$12)</f>
        <v>257890.98108905039</v>
      </c>
      <c r="D12" s="39">
        <f t="shared" ref="D12:AY12" si="0">D10+D11</f>
        <v>820</v>
      </c>
      <c r="E12" s="39">
        <f t="shared" si="0"/>
        <v>830.93333333333339</v>
      </c>
      <c r="F12" s="39">
        <f t="shared" si="0"/>
        <v>842.01244444444455</v>
      </c>
      <c r="G12" s="39">
        <f t="shared" si="0"/>
        <v>853.23927703703725</v>
      </c>
      <c r="H12" s="39">
        <f t="shared" si="0"/>
        <v>864.61580073086452</v>
      </c>
      <c r="I12" s="39">
        <f t="shared" si="0"/>
        <v>876.14401140727614</v>
      </c>
      <c r="J12" s="39">
        <f t="shared" si="0"/>
        <v>887.8259315593732</v>
      </c>
      <c r="K12" s="39">
        <f t="shared" si="0"/>
        <v>899.66361064683156</v>
      </c>
      <c r="L12" s="39">
        <f t="shared" si="0"/>
        <v>911.65912545545609</v>
      </c>
      <c r="M12" s="39">
        <f t="shared" si="0"/>
        <v>923.81458046152886</v>
      </c>
      <c r="N12" s="39">
        <f t="shared" si="0"/>
        <v>936.13210820101597</v>
      </c>
      <c r="O12" s="39">
        <f t="shared" si="0"/>
        <v>948.61386964369626</v>
      </c>
      <c r="P12" s="39">
        <f t="shared" si="0"/>
        <v>1177.4939680275991</v>
      </c>
      <c r="Q12" s="39">
        <f t="shared" si="0"/>
        <v>1411.9646395043249</v>
      </c>
      <c r="R12" s="39">
        <f t="shared" si="0"/>
        <v>1652.8273737409033</v>
      </c>
      <c r="S12" s="39">
        <f t="shared" si="0"/>
        <v>1899.3805253459036</v>
      </c>
      <c r="T12" s="39">
        <f t="shared" si="0"/>
        <v>2152.7025855973516</v>
      </c>
      <c r="U12" s="39">
        <f t="shared" si="0"/>
        <v>2412.0792487302679</v>
      </c>
      <c r="V12" s="39">
        <f t="shared" si="0"/>
        <v>2678.3577443999257</v>
      </c>
      <c r="W12" s="39">
        <f t="shared" si="0"/>
        <v>2950.9354573410069</v>
      </c>
      <c r="X12" s="39">
        <f t="shared" si="0"/>
        <v>3230.6834550440544</v>
      </c>
      <c r="Y12" s="39">
        <f t="shared" si="0"/>
        <v>3516.984054389939</v>
      </c>
      <c r="Z12" s="39">
        <f t="shared" si="0"/>
        <v>3810.5923092227285</v>
      </c>
      <c r="AA12" s="39">
        <f t="shared" si="0"/>
        <v>4111.1542617908617</v>
      </c>
      <c r="AB12" s="39">
        <f t="shared" si="0"/>
        <v>4431.7804016612954</v>
      </c>
      <c r="AC12" s="39">
        <f t="shared" si="0"/>
        <v>4760.629258656375</v>
      </c>
      <c r="AD12" s="39">
        <f t="shared" si="0"/>
        <v>5097.0506070550964</v>
      </c>
      <c r="AE12" s="39">
        <f t="shared" si="0"/>
        <v>5441.5968573206883</v>
      </c>
      <c r="AF12" s="39">
        <f t="shared" si="0"/>
        <v>5794.8447823917932</v>
      </c>
      <c r="AG12" s="39">
        <f t="shared" si="0"/>
        <v>6156.1197411109833</v>
      </c>
      <c r="AH12" s="39">
        <f t="shared" si="0"/>
        <v>6525.8422759960804</v>
      </c>
      <c r="AI12" s="39">
        <f t="shared" si="0"/>
        <v>6904.924907102376</v>
      </c>
      <c r="AJ12" s="39">
        <f t="shared" si="0"/>
        <v>7292.5134940184753</v>
      </c>
      <c r="AK12" s="39">
        <f t="shared" si="0"/>
        <v>7689.2102343799661</v>
      </c>
      <c r="AL12" s="39">
        <f t="shared" si="0"/>
        <v>8095.6437580262336</v>
      </c>
      <c r="AM12" s="39">
        <f t="shared" si="0"/>
        <v>8511.0878258710782</v>
      </c>
      <c r="AN12" s="39">
        <f t="shared" si="0"/>
        <v>8951.8954017996948</v>
      </c>
      <c r="AO12" s="39">
        <f t="shared" si="0"/>
        <v>9402.7733583575264</v>
      </c>
      <c r="AP12" s="39">
        <f t="shared" si="0"/>
        <v>9864.7363579025587</v>
      </c>
      <c r="AQ12" s="39">
        <f t="shared" si="0"/>
        <v>10336.684980013986</v>
      </c>
      <c r="AR12" s="39">
        <f t="shared" si="0"/>
        <v>10819.643521643036</v>
      </c>
      <c r="AS12" s="39">
        <f t="shared" si="0"/>
        <v>11313.462592942991</v>
      </c>
      <c r="AT12" s="39">
        <f t="shared" si="0"/>
        <v>11818.709822275016</v>
      </c>
      <c r="AU12" s="39">
        <f t="shared" si="0"/>
        <v>12335.41902881715</v>
      </c>
      <c r="AV12" s="39">
        <f t="shared" si="0"/>
        <v>12864.137025612661</v>
      </c>
      <c r="AW12" s="39">
        <f t="shared" si="0"/>
        <v>13404.425810465196</v>
      </c>
      <c r="AX12" s="39">
        <f t="shared" si="0"/>
        <v>13956.642232260227</v>
      </c>
      <c r="AY12" s="39">
        <f t="shared" si="0"/>
        <v>14521.397097314195</v>
      </c>
    </row>
    <row r="14" spans="1:51" x14ac:dyDescent="0.35">
      <c r="A14" s="37" t="s">
        <v>105</v>
      </c>
      <c r="B14" s="38" t="s">
        <v>81</v>
      </c>
      <c r="C14" s="39">
        <f>SUM($D$14:$AY$14)</f>
        <v>226036.69123093062</v>
      </c>
      <c r="D14" s="39">
        <f t="shared" ref="D14:AY14" si="1">D7-D12</f>
        <v>-820</v>
      </c>
      <c r="E14" s="39">
        <f t="shared" si="1"/>
        <v>-830.93333333333339</v>
      </c>
      <c r="F14" s="39">
        <f t="shared" si="1"/>
        <v>-842.01244444444455</v>
      </c>
      <c r="G14" s="39">
        <f t="shared" si="1"/>
        <v>-853.23927703703725</v>
      </c>
      <c r="H14" s="39">
        <f t="shared" si="1"/>
        <v>-864.61580073086452</v>
      </c>
      <c r="I14" s="39">
        <f t="shared" si="1"/>
        <v>-876.14401140727614</v>
      </c>
      <c r="J14" s="39">
        <f t="shared" si="1"/>
        <v>-887.8259315593732</v>
      </c>
      <c r="K14" s="39">
        <f t="shared" si="1"/>
        <v>-899.66361064683156</v>
      </c>
      <c r="L14" s="39">
        <f t="shared" si="1"/>
        <v>-911.65912545545609</v>
      </c>
      <c r="M14" s="39">
        <f t="shared" si="1"/>
        <v>-923.81458046152886</v>
      </c>
      <c r="N14" s="39">
        <f t="shared" si="1"/>
        <v>-936.13210820101597</v>
      </c>
      <c r="O14" s="39">
        <f t="shared" si="1"/>
        <v>-948.61386964369626</v>
      </c>
      <c r="P14" s="39">
        <f t="shared" si="1"/>
        <v>-662.65607884826568</v>
      </c>
      <c r="Q14" s="39">
        <f t="shared" si="1"/>
        <v>-369.37950250968493</v>
      </c>
      <c r="R14" s="39">
        <f t="shared" si="1"/>
        <v>-67.68267529303148</v>
      </c>
      <c r="S14" s="39">
        <f t="shared" si="1"/>
        <v>241.46003881568959</v>
      </c>
      <c r="T14" s="39">
        <f t="shared" si="1"/>
        <v>559.5324874677508</v>
      </c>
      <c r="U14" s="39">
        <f t="shared" si="1"/>
        <v>885.54267767003148</v>
      </c>
      <c r="V14" s="39">
        <f t="shared" si="1"/>
        <v>1220.6549482093328</v>
      </c>
      <c r="W14" s="39">
        <f t="shared" si="1"/>
        <v>1564.0313958103802</v>
      </c>
      <c r="X14" s="39">
        <f t="shared" si="1"/>
        <v>1916.8691266378446</v>
      </c>
      <c r="Y14" s="39">
        <f t="shared" si="1"/>
        <v>2278.3092758698549</v>
      </c>
      <c r="Z14" s="39">
        <f t="shared" si="1"/>
        <v>2649.3885847443153</v>
      </c>
      <c r="AA14" s="39">
        <f t="shared" si="1"/>
        <v>3029.6122229334323</v>
      </c>
      <c r="AB14" s="39">
        <f t="shared" si="1"/>
        <v>3437.0790402717575</v>
      </c>
      <c r="AC14" s="39">
        <f t="shared" si="1"/>
        <v>3855.4303368824412</v>
      </c>
      <c r="AD14" s="39">
        <f t="shared" si="1"/>
        <v>4283.7619059876579</v>
      </c>
      <c r="AE14" s="39">
        <f t="shared" si="1"/>
        <v>4722.8302404313436</v>
      </c>
      <c r="AF14" s="39">
        <f t="shared" si="1"/>
        <v>5173.425391679858</v>
      </c>
      <c r="AG14" s="39">
        <f t="shared" si="1"/>
        <v>5634.6091819974163</v>
      </c>
      <c r="AH14" s="39">
        <f t="shared" si="1"/>
        <v>6106.955743079835</v>
      </c>
      <c r="AI14" s="39">
        <f t="shared" si="1"/>
        <v>6591.7185159414121</v>
      </c>
      <c r="AJ14" s="39">
        <f t="shared" si="1"/>
        <v>7087.711178208915</v>
      </c>
      <c r="AK14" s="39">
        <f t="shared" si="1"/>
        <v>7595.75845040072</v>
      </c>
      <c r="AL14" s="39">
        <f t="shared" si="1"/>
        <v>8116.7214628401034</v>
      </c>
      <c r="AM14" s="39">
        <f t="shared" si="1"/>
        <v>8649.5902433476676</v>
      </c>
      <c r="AN14" s="39">
        <f t="shared" si="1"/>
        <v>9216.9402914776874</v>
      </c>
      <c r="AO14" s="39">
        <f t="shared" si="1"/>
        <v>9797.6452660695122</v>
      </c>
      <c r="AP14" s="39">
        <f t="shared" si="1"/>
        <v>10393.099010326994</v>
      </c>
      <c r="AQ14" s="39">
        <f t="shared" si="1"/>
        <v>11001.775821711151</v>
      </c>
      <c r="AR14" s="39">
        <f t="shared" si="1"/>
        <v>11625.082650840497</v>
      </c>
      <c r="AS14" s="39">
        <f t="shared" si="1"/>
        <v>12262.80554202615</v>
      </c>
      <c r="AT14" s="39">
        <f t="shared" si="1"/>
        <v>12915.720605508281</v>
      </c>
      <c r="AU14" s="39">
        <f t="shared" si="1"/>
        <v>13583.866683031354</v>
      </c>
      <c r="AV14" s="39">
        <f t="shared" si="1"/>
        <v>14267.990931627035</v>
      </c>
      <c r="AW14" s="39">
        <f t="shared" si="1"/>
        <v>14967.480419167139</v>
      </c>
      <c r="AX14" s="39">
        <f t="shared" si="1"/>
        <v>15682.819757391397</v>
      </c>
      <c r="AY14" s="39">
        <f t="shared" si="1"/>
        <v>16414.844152097463</v>
      </c>
    </row>
    <row r="16" spans="1:51" ht="16" customHeight="1" x14ac:dyDescent="0.35">
      <c r="A16" s="43" t="s">
        <v>106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</row>
    <row r="17" spans="1:51" x14ac:dyDescent="0.35">
      <c r="A17" s="27" t="s">
        <v>107</v>
      </c>
      <c r="B17" s="28" t="s">
        <v>81</v>
      </c>
      <c r="C17" s="29">
        <f>SUM($D$17:$AY$17)</f>
        <v>38648.765920124228</v>
      </c>
      <c r="D17" s="46">
        <f>ДОПУЩЕНИЯ!$D$26</f>
        <v>580</v>
      </c>
      <c r="E17" s="46">
        <f>ДОПУЩЕНИЯ!$E$26</f>
        <v>587.73333333333335</v>
      </c>
      <c r="F17" s="46">
        <f>ДОПУЩЕНИЯ!$F$26</f>
        <v>595.56977777777786</v>
      </c>
      <c r="G17" s="46">
        <f>ДОПУЩЕНИЯ!$G$26</f>
        <v>603.5107081481483</v>
      </c>
      <c r="H17" s="46">
        <f>ДОПУЩЕНИЯ!$H$26</f>
        <v>611.55751759012367</v>
      </c>
      <c r="I17" s="46">
        <f>ДОПУЩЕНИЯ!$I$26</f>
        <v>619.71161782465867</v>
      </c>
      <c r="J17" s="46">
        <f>ДОПУЩЕНИЯ!$J$26</f>
        <v>627.97443939565414</v>
      </c>
      <c r="K17" s="46">
        <f>ДОПУЩЕНИЯ!$K$26</f>
        <v>636.34743192092958</v>
      </c>
      <c r="L17" s="46">
        <f>ДОПУЩЕНИЯ!$L$26</f>
        <v>644.83206434654198</v>
      </c>
      <c r="M17" s="46">
        <f>ДОПУЩЕНИЯ!$M$26</f>
        <v>653.42982520449596</v>
      </c>
      <c r="N17" s="46">
        <f>ДОПУЩЕНИЯ!$N$26</f>
        <v>662.1422228738893</v>
      </c>
      <c r="O17" s="46">
        <f>ДОПУЩЕНИЯ!$O$26</f>
        <v>670.97078584554117</v>
      </c>
      <c r="P17" s="46">
        <f>ДОПУЩЕНИЯ!$P$26</f>
        <v>679.91706299014845</v>
      </c>
      <c r="Q17" s="46">
        <f>ДОПУЩЕНИЯ!$Q$26</f>
        <v>688.98262383001713</v>
      </c>
      <c r="R17" s="46">
        <f>ДОПУЩЕНИЯ!$R$26</f>
        <v>698.16905881441744</v>
      </c>
      <c r="S17" s="46">
        <f>ДОПУЩЕНИЯ!$S$26</f>
        <v>707.47797959860975</v>
      </c>
      <c r="T17" s="46">
        <f>ДОПУЩЕНИЯ!$T$26</f>
        <v>716.91101932659126</v>
      </c>
      <c r="U17" s="46">
        <f>ДОПУЩЕНИЯ!$U$26</f>
        <v>726.46983291761251</v>
      </c>
      <c r="V17" s="46">
        <f>ДОПУЩЕНИЯ!$V$26</f>
        <v>736.15609735651412</v>
      </c>
      <c r="W17" s="46">
        <f>ДОПУЩЕНИЯ!$W$26</f>
        <v>745.97151198793438</v>
      </c>
      <c r="X17" s="46">
        <f>ДОПУЩЕНИЯ!$X$26</f>
        <v>755.91779881444029</v>
      </c>
      <c r="Y17" s="46">
        <f>ДОПУЩЕНИЯ!$Y$26</f>
        <v>765.9967027986329</v>
      </c>
      <c r="Z17" s="46">
        <f>ДОПУЩЕНИЯ!$Z$26</f>
        <v>776.20999216928135</v>
      </c>
      <c r="AA17" s="46">
        <f>ДОПУЩЕНИЯ!$AA$26</f>
        <v>786.55945873153848</v>
      </c>
      <c r="AB17" s="46">
        <f>ДОПУЩЕНИЯ!$AB$26</f>
        <v>797.04691818129243</v>
      </c>
      <c r="AC17" s="46">
        <f>ДОПУЩЕНИЯ!$AC$26</f>
        <v>807.67421042370972</v>
      </c>
      <c r="AD17" s="46">
        <f>ДОПУЩЕНИЯ!$AD$26</f>
        <v>818.44319989602593</v>
      </c>
      <c r="AE17" s="46">
        <f>ДОПУЩЕНИЯ!$AE$26</f>
        <v>829.35577589463969</v>
      </c>
      <c r="AF17" s="46">
        <f>ДОПУЩЕНИЯ!$AF$26</f>
        <v>840.41385290656831</v>
      </c>
      <c r="AG17" s="46">
        <f>ДОПУЩЕНИЯ!$AG$26</f>
        <v>851.61937094532266</v>
      </c>
      <c r="AH17" s="46">
        <f>ДОПУЩЕНИЯ!$AH$26</f>
        <v>862.97429589126034</v>
      </c>
      <c r="AI17" s="46">
        <f>ДОПУЩЕНИЯ!$AI$26</f>
        <v>874.48061983647722</v>
      </c>
      <c r="AJ17" s="46">
        <f>ДОПУЩЕНИЯ!$AJ$26</f>
        <v>886.14036143429701</v>
      </c>
      <c r="AK17" s="46">
        <f>ДОПУЩЕНИЯ!$AK$26</f>
        <v>897.95556625342101</v>
      </c>
      <c r="AL17" s="46">
        <f>ДОПУЩЕНИЯ!$AL$26</f>
        <v>909.92830713680007</v>
      </c>
      <c r="AM17" s="46">
        <f>ДОПУЩЕНИЯ!$AM$26</f>
        <v>922.06068456529079</v>
      </c>
      <c r="AN17" s="46">
        <f>ДОПУЩЕНИЯ!$AN$26</f>
        <v>934.35482702616139</v>
      </c>
      <c r="AO17" s="46">
        <f>ДОПУЩЕНИЯ!$AO$26</f>
        <v>946.81289138651027</v>
      </c>
      <c r="AP17" s="46">
        <f>ДОПУЩЕНИЯ!$AP$26</f>
        <v>959.43706327166387</v>
      </c>
      <c r="AQ17" s="46">
        <f>ДОПУЩЕНИЯ!$AQ$26</f>
        <v>972.22955744861952</v>
      </c>
      <c r="AR17" s="46">
        <f>ДОПУЩЕНИЯ!$AR$26</f>
        <v>985.19261821460123</v>
      </c>
      <c r="AS17" s="46">
        <f>ДОПУЩЕНИЯ!$AS$26</f>
        <v>998.32851979079601</v>
      </c>
      <c r="AT17" s="46">
        <f>ДОПУЩЕНИЯ!$AT$26</f>
        <v>1011.6395667213401</v>
      </c>
      <c r="AU17" s="46">
        <f>ДОПУЩЕНИЯ!$AU$26</f>
        <v>1025.1280942776248</v>
      </c>
      <c r="AV17" s="46">
        <f>ДОПУЩЕНИЯ!$AV$26</f>
        <v>1038.7964688679931</v>
      </c>
      <c r="AW17" s="46">
        <f>ДОПУЩЕНИЯ!$AW$26</f>
        <v>1052.6470884528997</v>
      </c>
      <c r="AX17" s="46">
        <f>ДОПУЩЕНИЯ!$AX$26</f>
        <v>1066.682382965605</v>
      </c>
      <c r="AY17" s="46">
        <f>ДОПУЩЕНИЯ!$AY$26</f>
        <v>1080.9048147384799</v>
      </c>
    </row>
    <row r="18" spans="1:51" x14ac:dyDescent="0.35">
      <c r="A18" s="27" t="s">
        <v>93</v>
      </c>
      <c r="B18" s="28" t="s">
        <v>81</v>
      </c>
      <c r="C18" s="29">
        <f>SUM($D$18:$AY$18)</f>
        <v>16658.95082763975</v>
      </c>
      <c r="D18" s="46">
        <f>ДОПУЩЕНИЯ!$D$27</f>
        <v>250</v>
      </c>
      <c r="E18" s="46">
        <f>ДОПУЩЕНИЯ!$E$27</f>
        <v>253.33333333333334</v>
      </c>
      <c r="F18" s="46">
        <f>ДОПУЩЕНИЯ!$F$27</f>
        <v>256.71111111111117</v>
      </c>
      <c r="G18" s="46">
        <f>ДОПУЩЕНИЯ!$G$27</f>
        <v>260.13392592592601</v>
      </c>
      <c r="H18" s="46">
        <f>ДОПУЩЕНИЯ!$H$27</f>
        <v>263.60237827160506</v>
      </c>
      <c r="I18" s="46">
        <f>ДОПУЩЕНИЯ!$I$27</f>
        <v>267.11707664855982</v>
      </c>
      <c r="J18" s="46">
        <f>ДОПУЩЕНИЯ!$J$27</f>
        <v>270.67863767054064</v>
      </c>
      <c r="K18" s="46">
        <f>ДОПУЩЕНИЯ!$K$27</f>
        <v>274.28768617281452</v>
      </c>
      <c r="L18" s="46">
        <f>ДОПУЩЕНИЯ!$L$27</f>
        <v>277.94485532178538</v>
      </c>
      <c r="M18" s="46">
        <f>ДОПУЩЕНИЯ!$M$27</f>
        <v>281.65078672607586</v>
      </c>
      <c r="N18" s="46">
        <f>ДОПУЩЕНИЯ!$N$27</f>
        <v>285.40613054909022</v>
      </c>
      <c r="O18" s="46">
        <f>ДОПУЩЕНИЯ!$O$27</f>
        <v>289.21154562307811</v>
      </c>
      <c r="P18" s="46">
        <f>ДОПУЩЕНИЯ!$P$27</f>
        <v>293.06769956471919</v>
      </c>
      <c r="Q18" s="46">
        <f>ДОПУЩЕНИЯ!$Q$27</f>
        <v>296.97526889224878</v>
      </c>
      <c r="R18" s="46">
        <f>ДОПУЩЕНИЯ!$R$27</f>
        <v>300.93493914414546</v>
      </c>
      <c r="S18" s="46">
        <f>ДОПУЩЕНИЯ!$S$27</f>
        <v>304.94740499940076</v>
      </c>
      <c r="T18" s="46">
        <f>ДОПУЩЕНИЯ!$T$27</f>
        <v>309.01337039939278</v>
      </c>
      <c r="U18" s="46">
        <f>ДОПУЩЕНИЯ!$U$27</f>
        <v>313.13354867138469</v>
      </c>
      <c r="V18" s="46">
        <f>ДОПУЩЕНИЯ!$V$27</f>
        <v>317.30866265366984</v>
      </c>
      <c r="W18" s="46">
        <f>ДОПУЩЕНИЯ!$W$27</f>
        <v>321.53944482238546</v>
      </c>
      <c r="X18" s="46">
        <f>ДОПУЩЕНИЯ!$X$27</f>
        <v>325.82663742001728</v>
      </c>
      <c r="Y18" s="46">
        <f>ДОПУЩЕНИЯ!$Y$27</f>
        <v>330.17099258561751</v>
      </c>
      <c r="Z18" s="46">
        <f>ДОПУЩЕНИЯ!$Z$27</f>
        <v>334.57327248675909</v>
      </c>
      <c r="AA18" s="46">
        <f>ДОПУЩЕНИЯ!$AA$27</f>
        <v>339.03424945324923</v>
      </c>
      <c r="AB18" s="46">
        <f>ДОПУЩЕНИЯ!$AB$27</f>
        <v>343.55470611262592</v>
      </c>
      <c r="AC18" s="46">
        <f>ДОПУЩЕНИЯ!$AC$27</f>
        <v>348.13543552746097</v>
      </c>
      <c r="AD18" s="46">
        <f>ДОПУЩЕНИЯ!$AD$27</f>
        <v>352.77724133449379</v>
      </c>
      <c r="AE18" s="46">
        <f>ДОПУЩЕНИЯ!$AE$27</f>
        <v>357.48093788562039</v>
      </c>
      <c r="AF18" s="46">
        <f>ДОПУЩЕНИЯ!$AF$27</f>
        <v>362.24735039076205</v>
      </c>
      <c r="AG18" s="46">
        <f>ДОПУЩЕНИЯ!$AG$27</f>
        <v>367.07731506263889</v>
      </c>
      <c r="AH18" s="46">
        <f>ДОПУЩЕНИЯ!$AH$27</f>
        <v>371.97167926347413</v>
      </c>
      <c r="AI18" s="46">
        <f>ДОПУЩЕНИЯ!$AI$27</f>
        <v>376.9313016536538</v>
      </c>
      <c r="AJ18" s="46">
        <f>ДОПУЩЕНИЯ!$AJ$27</f>
        <v>381.9570523423692</v>
      </c>
      <c r="AK18" s="46">
        <f>ДОПУЩЕНИЯ!$AK$27</f>
        <v>387.04981304026751</v>
      </c>
      <c r="AL18" s="46">
        <f>ДОПУЩЕНИЯ!$AL$27</f>
        <v>392.21047721413777</v>
      </c>
      <c r="AM18" s="46">
        <f>ДОПУЩЕНИЯ!$AM$27</f>
        <v>397.43995024365967</v>
      </c>
      <c r="AN18" s="46">
        <f>ДОПУЩЕНИЯ!$AN$27</f>
        <v>402.73914958024181</v>
      </c>
      <c r="AO18" s="46">
        <f>ДОПУЩЕНИЯ!$AO$27</f>
        <v>408.10900490797843</v>
      </c>
      <c r="AP18" s="46">
        <f>ДОПУЩЕНИЯ!$AP$27</f>
        <v>413.55045830675152</v>
      </c>
      <c r="AQ18" s="46">
        <f>ДОПУЩЕНИЯ!$AQ$27</f>
        <v>419.06446441750825</v>
      </c>
      <c r="AR18" s="46">
        <f>ДОПУЩЕНИЯ!$AR$27</f>
        <v>424.65199060974174</v>
      </c>
      <c r="AS18" s="46">
        <f>ДОПУЩЕНИЯ!$AS$27</f>
        <v>430.31401715120501</v>
      </c>
      <c r="AT18" s="46">
        <f>ДОПУЩЕНИЯ!$AT$27</f>
        <v>436.0515373798878</v>
      </c>
      <c r="AU18" s="46">
        <f>ДОПУЩЕНИЯ!$AU$27</f>
        <v>441.86555787828632</v>
      </c>
      <c r="AV18" s="46">
        <f>ДОПУЩЕНИЯ!$AV$27</f>
        <v>447.75709864999686</v>
      </c>
      <c r="AW18" s="46">
        <f>ДОПУЩЕНИЯ!$AW$27</f>
        <v>453.72719329866351</v>
      </c>
      <c r="AX18" s="46">
        <f>ДОПУЩЕНИЯ!$AX$27</f>
        <v>459.7768892093124</v>
      </c>
      <c r="AY18" s="46">
        <f>ДОПУЩЕНИЯ!$AY$27</f>
        <v>465.90724773210326</v>
      </c>
    </row>
    <row r="19" spans="1:51" x14ac:dyDescent="0.35">
      <c r="A19" s="27" t="s">
        <v>94</v>
      </c>
      <c r="B19" s="28" t="s">
        <v>81</v>
      </c>
      <c r="C19" s="29">
        <f>SUM($D$19:$AY$19)</f>
        <v>18658.024926956528</v>
      </c>
      <c r="D19" s="46">
        <f>ДОПУЩЕНИЯ!$D$28</f>
        <v>280</v>
      </c>
      <c r="E19" s="46">
        <f>ДОПУЩЕНИЯ!$E$28</f>
        <v>283.73333333333335</v>
      </c>
      <c r="F19" s="46">
        <f>ДОПУЩЕНИЯ!$F$28</f>
        <v>287.51644444444446</v>
      </c>
      <c r="G19" s="46">
        <f>ДОПУЩЕНИЯ!$G$28</f>
        <v>291.3499970370371</v>
      </c>
      <c r="H19" s="46">
        <f>ДОПУЩЕНИЯ!$H$28</f>
        <v>295.23466366419763</v>
      </c>
      <c r="I19" s="46">
        <f>ДОПУЩЕНИЯ!$I$28</f>
        <v>299.17112584638693</v>
      </c>
      <c r="J19" s="46">
        <f>ДОПУЩЕНИЯ!$J$28</f>
        <v>303.16007419100544</v>
      </c>
      <c r="K19" s="46">
        <f>ДОПУЩЕНИЯ!$K$28</f>
        <v>307.20220851355219</v>
      </c>
      <c r="L19" s="46">
        <f>ДОПУЩЕНИЯ!$L$28</f>
        <v>311.2982379603996</v>
      </c>
      <c r="M19" s="46">
        <f>ДОПУЩЕНИЯ!$M$28</f>
        <v>315.44888113320496</v>
      </c>
      <c r="N19" s="46">
        <f>ДОПУЩЕНИЯ!$N$28</f>
        <v>319.65486621498104</v>
      </c>
      <c r="O19" s="46">
        <f>ДОПУЩЕНИЯ!$O$28</f>
        <v>323.91693109784751</v>
      </c>
      <c r="P19" s="46">
        <f>ДОПУЩЕНИЯ!$P$28</f>
        <v>328.23582351248552</v>
      </c>
      <c r="Q19" s="46">
        <f>ДОПУЩЕНИЯ!$Q$28</f>
        <v>332.61230115931869</v>
      </c>
      <c r="R19" s="46">
        <f>ДОПУЩЕНИЯ!$R$28</f>
        <v>337.04713184144299</v>
      </c>
      <c r="S19" s="46">
        <f>ДОПУЩЕНИЯ!$S$28</f>
        <v>341.54109359932892</v>
      </c>
      <c r="T19" s="46">
        <f>ДОПУЩЕНИЯ!$T$28</f>
        <v>346.09497484731997</v>
      </c>
      <c r="U19" s="46">
        <f>ДОПУЩЕНИЯ!$U$28</f>
        <v>350.70957451195096</v>
      </c>
      <c r="V19" s="46">
        <f>ДОПУЩЕНИЯ!$V$28</f>
        <v>355.38570217211031</v>
      </c>
      <c r="W19" s="46">
        <f>ДОПУЩЕНИЯ!$W$28</f>
        <v>360.1241782010718</v>
      </c>
      <c r="X19" s="46">
        <f>ДОПУЩЕНИЯ!$X$28</f>
        <v>364.92583391041944</v>
      </c>
      <c r="Y19" s="46">
        <f>ДОПУЩЕНИЯ!$Y$28</f>
        <v>369.79151169589176</v>
      </c>
      <c r="Z19" s="46">
        <f>ДОПУЩЕНИЯ!$Z$28</f>
        <v>374.72206518517032</v>
      </c>
      <c r="AA19" s="46">
        <f>ДОПУЩЕНИЯ!$AA$28</f>
        <v>379.71835938763928</v>
      </c>
      <c r="AB19" s="46">
        <f>ДОПУЩЕНИЯ!$AB$28</f>
        <v>384.78127084614118</v>
      </c>
      <c r="AC19" s="46">
        <f>ДОПУЩЕНИЯ!$AC$28</f>
        <v>389.91168779075645</v>
      </c>
      <c r="AD19" s="46">
        <f>ДОПУЩЕНИЯ!$AD$28</f>
        <v>395.11051029463323</v>
      </c>
      <c r="AE19" s="46">
        <f>ДОПУЩЕНИЯ!$AE$28</f>
        <v>400.37865043189504</v>
      </c>
      <c r="AF19" s="46">
        <f>ДОПУЩЕНИЯ!$AF$28</f>
        <v>405.7170324376537</v>
      </c>
      <c r="AG19" s="46">
        <f>ДОПУЩЕНИЯ!$AG$28</f>
        <v>411.12659287015578</v>
      </c>
      <c r="AH19" s="46">
        <f>ДОПУЩЕНИЯ!$AH$28</f>
        <v>416.6082807750912</v>
      </c>
      <c r="AI19" s="46">
        <f>ДОПУЩЕНИЯ!$AI$28</f>
        <v>422.16305785209244</v>
      </c>
      <c r="AJ19" s="46">
        <f>ДОПУЩЕНИЯ!$AJ$28</f>
        <v>427.79189862345373</v>
      </c>
      <c r="AK19" s="46">
        <f>ДОПУЩЕНИЯ!$AK$28</f>
        <v>433.49579060509984</v>
      </c>
      <c r="AL19" s="46">
        <f>ДОПУЩЕНИЯ!$AL$28</f>
        <v>439.27573447983457</v>
      </c>
      <c r="AM19" s="46">
        <f>ДОПУЩЕНИЯ!$AM$28</f>
        <v>445.13274427289906</v>
      </c>
      <c r="AN19" s="46">
        <f>ДОПУЩЕНИЯ!$AN$28</f>
        <v>451.06784752987107</v>
      </c>
      <c r="AO19" s="46">
        <f>ДОПУЩЕНИЯ!$AO$28</f>
        <v>457.08208549693609</v>
      </c>
      <c r="AP19" s="46">
        <f>ДОПУЩЕНИЯ!$AP$28</f>
        <v>463.17651330356193</v>
      </c>
      <c r="AQ19" s="46">
        <f>ДОПУЩЕНИЯ!$AQ$28</f>
        <v>469.35220014760944</v>
      </c>
      <c r="AR19" s="46">
        <f>ДОПУЩЕНИЯ!$AR$28</f>
        <v>475.61022948291094</v>
      </c>
      <c r="AS19" s="46">
        <f>ДОПУЩЕНИЯ!$AS$28</f>
        <v>481.95169920934978</v>
      </c>
      <c r="AT19" s="46">
        <f>ДОПУЩЕНИЯ!$AT$28</f>
        <v>488.37772186547448</v>
      </c>
      <c r="AU19" s="46">
        <f>ДОПУЩЕНИЯ!$AU$28</f>
        <v>494.88942482368083</v>
      </c>
      <c r="AV19" s="46">
        <f>ДОПУЩЕНИЯ!$AV$28</f>
        <v>501.48795048799661</v>
      </c>
      <c r="AW19" s="46">
        <f>ДОПУЩЕНИЯ!$AW$28</f>
        <v>508.17445649450326</v>
      </c>
      <c r="AX19" s="46">
        <f>ДОПУЩЕНИЯ!$AX$28</f>
        <v>514.95011591443006</v>
      </c>
      <c r="AY19" s="46">
        <f>ДОПУЩЕНИЯ!$AY$28</f>
        <v>521.81611745995588</v>
      </c>
    </row>
    <row r="20" spans="1:51" x14ac:dyDescent="0.35">
      <c r="A20" s="27" t="s">
        <v>95</v>
      </c>
      <c r="B20" s="28" t="s">
        <v>81</v>
      </c>
      <c r="C20" s="29">
        <f>SUM($D$20:$AY$20)</f>
        <v>21989.815092484489</v>
      </c>
      <c r="D20" s="46">
        <f>ДОПУЩЕНИЯ!$D$29</f>
        <v>330</v>
      </c>
      <c r="E20" s="46">
        <f>ДОПУЩЕНИЯ!$E$29</f>
        <v>334.40000000000003</v>
      </c>
      <c r="F20" s="46">
        <f>ДОПУЩЕНИЯ!$F$29</f>
        <v>338.85866666666675</v>
      </c>
      <c r="G20" s="46">
        <f>ДОПУЩЕНИЯ!$G$29</f>
        <v>343.37678222222235</v>
      </c>
      <c r="H20" s="46">
        <f>ДОПУЩЕНИЯ!$H$29</f>
        <v>347.95513931851866</v>
      </c>
      <c r="I20" s="46">
        <f>ДОПУЩЕНИЯ!$I$29</f>
        <v>352.59454117609891</v>
      </c>
      <c r="J20" s="46">
        <f>ДОПУЩЕНИЯ!$J$29</f>
        <v>357.29580172511362</v>
      </c>
      <c r="K20" s="46">
        <f>ДОПУЩЕНИЯ!$K$29</f>
        <v>362.05974574811518</v>
      </c>
      <c r="L20" s="46">
        <f>ДОПУЩЕНИЯ!$L$29</f>
        <v>366.88720902475677</v>
      </c>
      <c r="M20" s="46">
        <f>ДОПУЩЕНИЯ!$M$29</f>
        <v>371.7790384784202</v>
      </c>
      <c r="N20" s="46">
        <f>ДОПУЩЕНИЯ!$N$29</f>
        <v>376.73609232479919</v>
      </c>
      <c r="O20" s="46">
        <f>ДОПУЩЕНИЯ!$O$29</f>
        <v>381.75924022246323</v>
      </c>
      <c r="P20" s="46">
        <f>ДОПУЩЕНИЯ!$P$29</f>
        <v>386.84936342542943</v>
      </c>
      <c r="Q20" s="46">
        <f>ДОПУЩЕНИЯ!$Q$29</f>
        <v>392.00735493776853</v>
      </c>
      <c r="R20" s="46">
        <f>ДОПУЩЕНИЯ!$R$29</f>
        <v>397.23411967027215</v>
      </c>
      <c r="S20" s="46">
        <f>ДОПУЩЕНИЯ!$S$29</f>
        <v>402.53057459920916</v>
      </c>
      <c r="T20" s="46">
        <f>ДОПУЩЕНИЯ!$T$29</f>
        <v>407.89764892719865</v>
      </c>
      <c r="U20" s="46">
        <f>ДОПУЩЕНИЯ!$U$29</f>
        <v>413.33628424622799</v>
      </c>
      <c r="V20" s="46">
        <f>ДОПУЩЕНИЯ!$V$29</f>
        <v>418.8474347028444</v>
      </c>
      <c r="W20" s="46">
        <f>ДОПУЩЕНИЯ!$W$29</f>
        <v>424.43206716554903</v>
      </c>
      <c r="X20" s="46">
        <f>ДОПУЩЕНИЯ!$X$29</f>
        <v>430.09116139442307</v>
      </c>
      <c r="Y20" s="46">
        <f>ДОПУЩЕНИЯ!$Y$29</f>
        <v>435.82571021301544</v>
      </c>
      <c r="Z20" s="46">
        <f>ДОПУЩЕНИЯ!$Z$29</f>
        <v>441.63671968252237</v>
      </c>
      <c r="AA20" s="46">
        <f>ДОПУЩЕНИЯ!$AA$29</f>
        <v>447.52520927828937</v>
      </c>
      <c r="AB20" s="46">
        <f>ДОПУЩЕНИЯ!$AB$29</f>
        <v>453.49221206866662</v>
      </c>
      <c r="AC20" s="46">
        <f>ДОПУЩЕНИЯ!$AC$29</f>
        <v>459.53877489624887</v>
      </c>
      <c r="AD20" s="46">
        <f>ДОПУЩЕНИЯ!$AD$29</f>
        <v>465.66595856153225</v>
      </c>
      <c r="AE20" s="46">
        <f>ДОПУЩЕНИЯ!$AE$29</f>
        <v>471.87483800901941</v>
      </c>
      <c r="AF20" s="46">
        <f>ДОПУЩЕНИЯ!$AF$29</f>
        <v>478.16650251580637</v>
      </c>
      <c r="AG20" s="46">
        <f>ДОПУЩЕНИЯ!$AG$29</f>
        <v>484.54205588268383</v>
      </c>
      <c r="AH20" s="46">
        <f>ДОПУЩЕНИЯ!$AH$29</f>
        <v>491.00261662778632</v>
      </c>
      <c r="AI20" s="46">
        <f>ДОПУЩЕНИЯ!$AI$29</f>
        <v>497.54931818282353</v>
      </c>
      <c r="AJ20" s="46">
        <f>ДОПУЩЕНИЯ!$AJ$29</f>
        <v>504.18330909192787</v>
      </c>
      <c r="AK20" s="46">
        <f>ДОПУЩЕНИЯ!$AK$29</f>
        <v>510.90575321315362</v>
      </c>
      <c r="AL20" s="46">
        <f>ДОПУЩЕНИЯ!$AL$29</f>
        <v>517.71782992266242</v>
      </c>
      <c r="AM20" s="46">
        <f>ДОПУЩЕНИЯ!$AM$29</f>
        <v>524.62073432163129</v>
      </c>
      <c r="AN20" s="46">
        <f>ДОПУЩЕНИЯ!$AN$29</f>
        <v>531.6156774459198</v>
      </c>
      <c r="AO20" s="46">
        <f>ДОПУЩЕНИЯ!$AO$29</f>
        <v>538.70388647853213</v>
      </c>
      <c r="AP20" s="46">
        <f>ДОПУЩЕНИЯ!$AP$29</f>
        <v>545.88660496491264</v>
      </c>
      <c r="AQ20" s="46">
        <f>ДОПУЩЕНИЯ!$AQ$29</f>
        <v>553.1650930311115</v>
      </c>
      <c r="AR20" s="46">
        <f>ДОПУЩЕНИЯ!$AR$29</f>
        <v>560.54062760485965</v>
      </c>
      <c r="AS20" s="46">
        <f>ДОПУЩЕНИЯ!$AS$29</f>
        <v>568.01450263959111</v>
      </c>
      <c r="AT20" s="46">
        <f>ДОПУЩЕНИЯ!$AT$29</f>
        <v>575.5880293414524</v>
      </c>
      <c r="AU20" s="46">
        <f>ДОПУЩЕНИЯ!$AU$29</f>
        <v>583.2625363993385</v>
      </c>
      <c r="AV20" s="46">
        <f>ДОПУЩЕНИЯ!$AV$29</f>
        <v>591.03937021799641</v>
      </c>
      <c r="AW20" s="46">
        <f>ДОПУЩЕНИЯ!$AW$29</f>
        <v>598.91989515423643</v>
      </c>
      <c r="AX20" s="46">
        <f>ДОПУЩЕНИЯ!$AX$29</f>
        <v>606.90549375629291</v>
      </c>
      <c r="AY20" s="46">
        <f>ДОПУЩЕНИЯ!$AY$29</f>
        <v>614.99756700637693</v>
      </c>
    </row>
    <row r="21" spans="1:51" x14ac:dyDescent="0.35">
      <c r="A21" s="37" t="s">
        <v>108</v>
      </c>
      <c r="B21" s="38" t="s">
        <v>81</v>
      </c>
      <c r="C21" s="39">
        <f>SUM($D$21:$AY$21)</f>
        <v>95955.556767204995</v>
      </c>
      <c r="D21" s="39">
        <f t="shared" ref="D21:AY21" si="2">SUM(D17:D20)</f>
        <v>1440</v>
      </c>
      <c r="E21" s="39">
        <f t="shared" si="2"/>
        <v>1459.2000000000003</v>
      </c>
      <c r="F21" s="39">
        <f t="shared" si="2"/>
        <v>1478.6560000000002</v>
      </c>
      <c r="G21" s="39">
        <f t="shared" si="2"/>
        <v>1498.3714133333337</v>
      </c>
      <c r="H21" s="39">
        <f t="shared" si="2"/>
        <v>1518.3496988444449</v>
      </c>
      <c r="I21" s="39">
        <f t="shared" si="2"/>
        <v>1538.5943614957046</v>
      </c>
      <c r="J21" s="39">
        <f t="shared" si="2"/>
        <v>1559.1089529823139</v>
      </c>
      <c r="K21" s="39">
        <f t="shared" si="2"/>
        <v>1579.8970723554114</v>
      </c>
      <c r="L21" s="39">
        <f t="shared" si="2"/>
        <v>1600.9623666534835</v>
      </c>
      <c r="M21" s="39">
        <f t="shared" si="2"/>
        <v>1622.3085315421972</v>
      </c>
      <c r="N21" s="39">
        <f t="shared" si="2"/>
        <v>1643.9393119627598</v>
      </c>
      <c r="O21" s="39">
        <f t="shared" si="2"/>
        <v>1665.8585027889299</v>
      </c>
      <c r="P21" s="39">
        <f t="shared" si="2"/>
        <v>1688.0699494927826</v>
      </c>
      <c r="Q21" s="39">
        <f t="shared" si="2"/>
        <v>1710.5775488193531</v>
      </c>
      <c r="R21" s="39">
        <f t="shared" si="2"/>
        <v>1733.385249470278</v>
      </c>
      <c r="S21" s="39">
        <f t="shared" si="2"/>
        <v>1756.4970527965486</v>
      </c>
      <c r="T21" s="39">
        <f t="shared" si="2"/>
        <v>1779.9170135005024</v>
      </c>
      <c r="U21" s="39">
        <f t="shared" si="2"/>
        <v>1803.6492403471761</v>
      </c>
      <c r="V21" s="39">
        <f t="shared" si="2"/>
        <v>1827.6978968851386</v>
      </c>
      <c r="W21" s="39">
        <f t="shared" si="2"/>
        <v>1852.0672021769406</v>
      </c>
      <c r="X21" s="39">
        <f t="shared" si="2"/>
        <v>1876.7614315393002</v>
      </c>
      <c r="Y21" s="39">
        <f t="shared" si="2"/>
        <v>1901.7849172931578</v>
      </c>
      <c r="Z21" s="39">
        <f t="shared" si="2"/>
        <v>1927.1420495237332</v>
      </c>
      <c r="AA21" s="39">
        <f t="shared" si="2"/>
        <v>1952.8372768507165</v>
      </c>
      <c r="AB21" s="39">
        <f t="shared" si="2"/>
        <v>1978.8751072087261</v>
      </c>
      <c r="AC21" s="39">
        <f t="shared" si="2"/>
        <v>2005.260108638176</v>
      </c>
      <c r="AD21" s="39">
        <f t="shared" si="2"/>
        <v>2031.9969100866854</v>
      </c>
      <c r="AE21" s="39">
        <f t="shared" si="2"/>
        <v>2059.0902022211749</v>
      </c>
      <c r="AF21" s="39">
        <f t="shared" si="2"/>
        <v>2086.5447382507905</v>
      </c>
      <c r="AG21" s="39">
        <f t="shared" si="2"/>
        <v>2114.365334760801</v>
      </c>
      <c r="AH21" s="39">
        <f t="shared" si="2"/>
        <v>2142.5568725576118</v>
      </c>
      <c r="AI21" s="39">
        <f t="shared" si="2"/>
        <v>2171.124297525047</v>
      </c>
      <c r="AJ21" s="39">
        <f t="shared" si="2"/>
        <v>2200.0726214920478</v>
      </c>
      <c r="AK21" s="39">
        <f t="shared" si="2"/>
        <v>2229.406923111942</v>
      </c>
      <c r="AL21" s="39">
        <f t="shared" si="2"/>
        <v>2259.1323487534351</v>
      </c>
      <c r="AM21" s="39">
        <f t="shared" si="2"/>
        <v>2289.2541134034809</v>
      </c>
      <c r="AN21" s="39">
        <f t="shared" si="2"/>
        <v>2319.7775015821944</v>
      </c>
      <c r="AO21" s="39">
        <f t="shared" si="2"/>
        <v>2350.7078682699571</v>
      </c>
      <c r="AP21" s="39">
        <f t="shared" si="2"/>
        <v>2382.0506398468901</v>
      </c>
      <c r="AQ21" s="39">
        <f t="shared" si="2"/>
        <v>2413.8113150448489</v>
      </c>
      <c r="AR21" s="39">
        <f t="shared" si="2"/>
        <v>2445.9954659121136</v>
      </c>
      <c r="AS21" s="39">
        <f t="shared" si="2"/>
        <v>2478.608738790942</v>
      </c>
      <c r="AT21" s="39">
        <f t="shared" si="2"/>
        <v>2511.6568553081547</v>
      </c>
      <c r="AU21" s="39">
        <f t="shared" si="2"/>
        <v>2545.1456133789306</v>
      </c>
      <c r="AV21" s="39">
        <f t="shared" si="2"/>
        <v>2579.080888223983</v>
      </c>
      <c r="AW21" s="39">
        <f t="shared" si="2"/>
        <v>2613.4686334003027</v>
      </c>
      <c r="AX21" s="39">
        <f t="shared" si="2"/>
        <v>2648.3148818456402</v>
      </c>
      <c r="AY21" s="39">
        <f t="shared" si="2"/>
        <v>2683.6257469369157</v>
      </c>
    </row>
    <row r="23" spans="1:51" x14ac:dyDescent="0.35">
      <c r="A23" s="47" t="s">
        <v>109</v>
      </c>
      <c r="B23" s="48" t="s">
        <v>81</v>
      </c>
      <c r="C23" s="49">
        <f>SUM($D$23:$AY$23)</f>
        <v>130081.13446372558</v>
      </c>
      <c r="D23" s="49">
        <f t="shared" ref="D23:AY23" si="3">D14-D21</f>
        <v>-2260</v>
      </c>
      <c r="E23" s="49">
        <f t="shared" si="3"/>
        <v>-2290.1333333333337</v>
      </c>
      <c r="F23" s="49">
        <f t="shared" si="3"/>
        <v>-2320.6684444444445</v>
      </c>
      <c r="G23" s="49">
        <f t="shared" si="3"/>
        <v>-2351.6106903703712</v>
      </c>
      <c r="H23" s="49">
        <f t="shared" si="3"/>
        <v>-2382.9654995753094</v>
      </c>
      <c r="I23" s="49">
        <f t="shared" si="3"/>
        <v>-2414.7383729029807</v>
      </c>
      <c r="J23" s="49">
        <f t="shared" si="3"/>
        <v>-2446.9348845416871</v>
      </c>
      <c r="K23" s="49">
        <f t="shared" si="3"/>
        <v>-2479.560683002243</v>
      </c>
      <c r="L23" s="49">
        <f t="shared" si="3"/>
        <v>-2512.6214921089395</v>
      </c>
      <c r="M23" s="49">
        <f t="shared" si="3"/>
        <v>-2546.123112003726</v>
      </c>
      <c r="N23" s="49">
        <f t="shared" si="3"/>
        <v>-2580.0714201637757</v>
      </c>
      <c r="O23" s="49">
        <f t="shared" si="3"/>
        <v>-2614.4723724326259</v>
      </c>
      <c r="P23" s="49">
        <f t="shared" si="3"/>
        <v>-2350.7260283410483</v>
      </c>
      <c r="Q23" s="49">
        <f t="shared" si="3"/>
        <v>-2079.9570513290382</v>
      </c>
      <c r="R23" s="49">
        <f t="shared" si="3"/>
        <v>-1801.0679247633095</v>
      </c>
      <c r="S23" s="49">
        <f t="shared" si="3"/>
        <v>-1515.037013980859</v>
      </c>
      <c r="T23" s="49">
        <f t="shared" si="3"/>
        <v>-1220.3845260327516</v>
      </c>
      <c r="U23" s="49">
        <f t="shared" si="3"/>
        <v>-918.10656267714467</v>
      </c>
      <c r="V23" s="49">
        <f t="shared" si="3"/>
        <v>-607.04294867580575</v>
      </c>
      <c r="W23" s="49">
        <f t="shared" si="3"/>
        <v>-288.03580636656034</v>
      </c>
      <c r="X23" s="49">
        <f t="shared" si="3"/>
        <v>40.107695098544355</v>
      </c>
      <c r="Y23" s="49">
        <f t="shared" si="3"/>
        <v>376.52435857669707</v>
      </c>
      <c r="Z23" s="49">
        <f t="shared" si="3"/>
        <v>722.24653522058202</v>
      </c>
      <c r="AA23" s="49">
        <f t="shared" si="3"/>
        <v>1076.7749460827158</v>
      </c>
      <c r="AB23" s="49">
        <f t="shared" si="3"/>
        <v>1458.2039330630314</v>
      </c>
      <c r="AC23" s="49">
        <f t="shared" si="3"/>
        <v>1850.1702282442652</v>
      </c>
      <c r="AD23" s="49">
        <f t="shared" si="3"/>
        <v>2251.7649959009723</v>
      </c>
      <c r="AE23" s="49">
        <f t="shared" si="3"/>
        <v>2663.7400382101687</v>
      </c>
      <c r="AF23" s="49">
        <f t="shared" si="3"/>
        <v>3086.8806534290675</v>
      </c>
      <c r="AG23" s="49">
        <f t="shared" si="3"/>
        <v>3520.2438472366152</v>
      </c>
      <c r="AH23" s="49">
        <f t="shared" si="3"/>
        <v>3964.3988705222232</v>
      </c>
      <c r="AI23" s="49">
        <f t="shared" si="3"/>
        <v>4420.594218416365</v>
      </c>
      <c r="AJ23" s="49">
        <f t="shared" si="3"/>
        <v>4887.6385567168672</v>
      </c>
      <c r="AK23" s="49">
        <f t="shared" si="3"/>
        <v>5366.351527288778</v>
      </c>
      <c r="AL23" s="49">
        <f t="shared" si="3"/>
        <v>5857.5891140866679</v>
      </c>
      <c r="AM23" s="49">
        <f t="shared" si="3"/>
        <v>6360.3361299441867</v>
      </c>
      <c r="AN23" s="49">
        <f t="shared" si="3"/>
        <v>6897.162789895493</v>
      </c>
      <c r="AO23" s="49">
        <f t="shared" si="3"/>
        <v>7446.9373977995547</v>
      </c>
      <c r="AP23" s="49">
        <f t="shared" si="3"/>
        <v>8011.0483704801045</v>
      </c>
      <c r="AQ23" s="49">
        <f t="shared" si="3"/>
        <v>8587.9645066663034</v>
      </c>
      <c r="AR23" s="49">
        <f t="shared" si="3"/>
        <v>9179.0871849283831</v>
      </c>
      <c r="AS23" s="49">
        <f t="shared" si="3"/>
        <v>9784.1968032352088</v>
      </c>
      <c r="AT23" s="49">
        <f t="shared" si="3"/>
        <v>10404.063750200126</v>
      </c>
      <c r="AU23" s="49">
        <f t="shared" si="3"/>
        <v>11038.721069652423</v>
      </c>
      <c r="AV23" s="49">
        <f t="shared" si="3"/>
        <v>11688.910043403052</v>
      </c>
      <c r="AW23" s="49">
        <f t="shared" si="3"/>
        <v>12354.011785766837</v>
      </c>
      <c r="AX23" s="49">
        <f t="shared" si="3"/>
        <v>13034.504875545757</v>
      </c>
      <c r="AY23" s="49">
        <f t="shared" si="3"/>
        <v>13731.218405160547</v>
      </c>
    </row>
    <row r="24" spans="1:51" x14ac:dyDescent="0.35">
      <c r="A24" s="27" t="s">
        <v>110</v>
      </c>
      <c r="B24" s="28" t="s">
        <v>81</v>
      </c>
      <c r="C24" s="46">
        <f>НАСТРОЙКИ!$B$26*48</f>
        <v>16000</v>
      </c>
      <c r="D24" s="46">
        <f>НАСТРОЙКИ!$B$26</f>
        <v>333.33333333333331</v>
      </c>
      <c r="E24" s="46">
        <f>НАСТРОЙКИ!$B$26</f>
        <v>333.33333333333331</v>
      </c>
      <c r="F24" s="46">
        <f>НАСТРОЙКИ!$B$26</f>
        <v>333.33333333333331</v>
      </c>
      <c r="G24" s="46">
        <f>НАСТРОЙКИ!$B$26</f>
        <v>333.33333333333331</v>
      </c>
      <c r="H24" s="46">
        <f>НАСТРОЙКИ!$B$26</f>
        <v>333.33333333333331</v>
      </c>
      <c r="I24" s="46">
        <f>НАСТРОЙКИ!$B$26</f>
        <v>333.33333333333331</v>
      </c>
      <c r="J24" s="46">
        <f>НАСТРОЙКИ!$B$26</f>
        <v>333.33333333333331</v>
      </c>
      <c r="K24" s="46">
        <f>НАСТРОЙКИ!$B$26</f>
        <v>333.33333333333331</v>
      </c>
      <c r="L24" s="46">
        <f>НАСТРОЙКИ!$B$26</f>
        <v>333.33333333333331</v>
      </c>
      <c r="M24" s="46">
        <f>НАСТРОЙКИ!$B$26</f>
        <v>333.33333333333331</v>
      </c>
      <c r="N24" s="46">
        <f>НАСТРОЙКИ!$B$26</f>
        <v>333.33333333333331</v>
      </c>
      <c r="O24" s="46">
        <f>НАСТРОЙКИ!$B$26</f>
        <v>333.33333333333331</v>
      </c>
      <c r="P24" s="46">
        <f>НАСТРОЙКИ!$B$26</f>
        <v>333.33333333333331</v>
      </c>
      <c r="Q24" s="46">
        <f>НАСТРОЙКИ!$B$26</f>
        <v>333.33333333333331</v>
      </c>
      <c r="R24" s="46">
        <f>НАСТРОЙКИ!$B$26</f>
        <v>333.33333333333331</v>
      </c>
      <c r="S24" s="46">
        <f>НАСТРОЙКИ!$B$26</f>
        <v>333.33333333333331</v>
      </c>
      <c r="T24" s="46">
        <f>НАСТРОЙКИ!$B$26</f>
        <v>333.33333333333331</v>
      </c>
      <c r="U24" s="46">
        <f>НАСТРОЙКИ!$B$26</f>
        <v>333.33333333333331</v>
      </c>
      <c r="V24" s="46">
        <f>НАСТРОЙКИ!$B$26</f>
        <v>333.33333333333331</v>
      </c>
      <c r="W24" s="46">
        <f>НАСТРОЙКИ!$B$26</f>
        <v>333.33333333333331</v>
      </c>
      <c r="X24" s="46">
        <f>НАСТРОЙКИ!$B$26</f>
        <v>333.33333333333331</v>
      </c>
      <c r="Y24" s="46">
        <f>НАСТРОЙКИ!$B$26</f>
        <v>333.33333333333331</v>
      </c>
      <c r="Z24" s="46">
        <f>НАСТРОЙКИ!$B$26</f>
        <v>333.33333333333331</v>
      </c>
      <c r="AA24" s="46">
        <f>НАСТРОЙКИ!$B$26</f>
        <v>333.33333333333331</v>
      </c>
      <c r="AB24" s="46">
        <f>НАСТРОЙКИ!$B$26</f>
        <v>333.33333333333331</v>
      </c>
      <c r="AC24" s="46">
        <f>НАСТРОЙКИ!$B$26</f>
        <v>333.33333333333331</v>
      </c>
      <c r="AD24" s="46">
        <f>НАСТРОЙКИ!$B$26</f>
        <v>333.33333333333331</v>
      </c>
      <c r="AE24" s="46">
        <f>НАСТРОЙКИ!$B$26</f>
        <v>333.33333333333331</v>
      </c>
      <c r="AF24" s="46">
        <f>НАСТРОЙКИ!$B$26</f>
        <v>333.33333333333331</v>
      </c>
      <c r="AG24" s="46">
        <f>НАСТРОЙКИ!$B$26</f>
        <v>333.33333333333331</v>
      </c>
      <c r="AH24" s="46">
        <f>НАСТРОЙКИ!$B$26</f>
        <v>333.33333333333331</v>
      </c>
      <c r="AI24" s="46">
        <f>НАСТРОЙКИ!$B$26</f>
        <v>333.33333333333331</v>
      </c>
      <c r="AJ24" s="46">
        <f>НАСТРОЙКИ!$B$26</f>
        <v>333.33333333333331</v>
      </c>
      <c r="AK24" s="46">
        <f>НАСТРОЙКИ!$B$26</f>
        <v>333.33333333333331</v>
      </c>
      <c r="AL24" s="46">
        <f>НАСТРОЙКИ!$B$26</f>
        <v>333.33333333333331</v>
      </c>
      <c r="AM24" s="46">
        <f>НАСТРОЙКИ!$B$26</f>
        <v>333.33333333333331</v>
      </c>
      <c r="AN24" s="46">
        <f>НАСТРОЙКИ!$B$26</f>
        <v>333.33333333333331</v>
      </c>
      <c r="AO24" s="46">
        <f>НАСТРОЙКИ!$B$26</f>
        <v>333.33333333333331</v>
      </c>
      <c r="AP24" s="46">
        <f>НАСТРОЙКИ!$B$26</f>
        <v>333.33333333333331</v>
      </c>
      <c r="AQ24" s="46">
        <f>НАСТРОЙКИ!$B$26</f>
        <v>333.33333333333331</v>
      </c>
      <c r="AR24" s="46">
        <f>НАСТРОЙКИ!$B$26</f>
        <v>333.33333333333331</v>
      </c>
      <c r="AS24" s="46">
        <f>НАСТРОЙКИ!$B$26</f>
        <v>333.33333333333331</v>
      </c>
      <c r="AT24" s="46">
        <f>НАСТРОЙКИ!$B$26</f>
        <v>333.33333333333331</v>
      </c>
      <c r="AU24" s="46">
        <f>НАСТРОЙКИ!$B$26</f>
        <v>333.33333333333331</v>
      </c>
      <c r="AV24" s="46">
        <f>НАСТРОЙКИ!$B$26</f>
        <v>333.33333333333331</v>
      </c>
      <c r="AW24" s="46">
        <f>НАСТРОЙКИ!$B$26</f>
        <v>333.33333333333331</v>
      </c>
      <c r="AX24" s="46">
        <f>НАСТРОЙКИ!$B$26</f>
        <v>333.33333333333331</v>
      </c>
      <c r="AY24" s="46">
        <f>НАСТРОЙКИ!$B$26</f>
        <v>333.33333333333331</v>
      </c>
    </row>
    <row r="25" spans="1:51" x14ac:dyDescent="0.35">
      <c r="A25" s="37" t="s">
        <v>111</v>
      </c>
      <c r="B25" s="38" t="s">
        <v>81</v>
      </c>
      <c r="C25" s="39">
        <f>SUM($D$25:$AY$25)</f>
        <v>114081.13446372558</v>
      </c>
      <c r="D25" s="39">
        <f t="shared" ref="D25:AY25" si="4">D23-D24</f>
        <v>-2593.3333333333335</v>
      </c>
      <c r="E25" s="39">
        <f t="shared" si="4"/>
        <v>-2623.4666666666672</v>
      </c>
      <c r="F25" s="39">
        <f t="shared" si="4"/>
        <v>-2654.001777777778</v>
      </c>
      <c r="G25" s="39">
        <f t="shared" si="4"/>
        <v>-2684.9440237037047</v>
      </c>
      <c r="H25" s="39">
        <f t="shared" si="4"/>
        <v>-2716.2988329086429</v>
      </c>
      <c r="I25" s="39">
        <f t="shared" si="4"/>
        <v>-2748.0717062363142</v>
      </c>
      <c r="J25" s="39">
        <f t="shared" si="4"/>
        <v>-2780.2682178750206</v>
      </c>
      <c r="K25" s="39">
        <f t="shared" si="4"/>
        <v>-2812.8940163355765</v>
      </c>
      <c r="L25" s="39">
        <f t="shared" si="4"/>
        <v>-2845.954825442273</v>
      </c>
      <c r="M25" s="39">
        <f t="shared" si="4"/>
        <v>-2879.4564453370594</v>
      </c>
      <c r="N25" s="39">
        <f t="shared" si="4"/>
        <v>-2913.4047534971091</v>
      </c>
      <c r="O25" s="39">
        <f t="shared" si="4"/>
        <v>-2947.8057057659594</v>
      </c>
      <c r="P25" s="39">
        <f t="shared" si="4"/>
        <v>-2684.0593616743818</v>
      </c>
      <c r="Q25" s="39">
        <f t="shared" si="4"/>
        <v>-2413.2903846623717</v>
      </c>
      <c r="R25" s="39">
        <f t="shared" si="4"/>
        <v>-2134.4012580966428</v>
      </c>
      <c r="S25" s="39">
        <f t="shared" si="4"/>
        <v>-1848.3703473141923</v>
      </c>
      <c r="T25" s="39">
        <f t="shared" si="4"/>
        <v>-1553.7178593660849</v>
      </c>
      <c r="U25" s="39">
        <f t="shared" si="4"/>
        <v>-1251.4398960104779</v>
      </c>
      <c r="V25" s="39">
        <f t="shared" si="4"/>
        <v>-940.376282009139</v>
      </c>
      <c r="W25" s="39">
        <f t="shared" si="4"/>
        <v>-621.36913969989359</v>
      </c>
      <c r="X25" s="39">
        <f t="shared" si="4"/>
        <v>-293.22563823478896</v>
      </c>
      <c r="Y25" s="39">
        <f t="shared" si="4"/>
        <v>43.191025243363754</v>
      </c>
      <c r="Z25" s="39">
        <f t="shared" si="4"/>
        <v>388.9132018872487</v>
      </c>
      <c r="AA25" s="39">
        <f t="shared" si="4"/>
        <v>743.44161274938256</v>
      </c>
      <c r="AB25" s="39">
        <f t="shared" si="4"/>
        <v>1124.8705997296981</v>
      </c>
      <c r="AC25" s="39">
        <f t="shared" si="4"/>
        <v>1516.836894910932</v>
      </c>
      <c r="AD25" s="39">
        <f t="shared" si="4"/>
        <v>1918.431662567639</v>
      </c>
      <c r="AE25" s="39">
        <f t="shared" si="4"/>
        <v>2330.4067048768352</v>
      </c>
      <c r="AF25" s="39">
        <f t="shared" si="4"/>
        <v>2753.547320095734</v>
      </c>
      <c r="AG25" s="39">
        <f t="shared" si="4"/>
        <v>3186.9105139032818</v>
      </c>
      <c r="AH25" s="39">
        <f t="shared" si="4"/>
        <v>3631.0655371888897</v>
      </c>
      <c r="AI25" s="39">
        <f t="shared" si="4"/>
        <v>4087.2608850830316</v>
      </c>
      <c r="AJ25" s="39">
        <f t="shared" si="4"/>
        <v>4554.3052233835342</v>
      </c>
      <c r="AK25" s="39">
        <f t="shared" si="4"/>
        <v>5033.018193955445</v>
      </c>
      <c r="AL25" s="39">
        <f t="shared" si="4"/>
        <v>5524.2557807533349</v>
      </c>
      <c r="AM25" s="39">
        <f t="shared" si="4"/>
        <v>6027.0027966108537</v>
      </c>
      <c r="AN25" s="39">
        <f t="shared" si="4"/>
        <v>6563.82945656216</v>
      </c>
      <c r="AO25" s="39">
        <f t="shared" si="4"/>
        <v>7113.6040644662216</v>
      </c>
      <c r="AP25" s="39">
        <f t="shared" si="4"/>
        <v>7677.7150371467715</v>
      </c>
      <c r="AQ25" s="39">
        <f t="shared" si="4"/>
        <v>8254.6311733329694</v>
      </c>
      <c r="AR25" s="39">
        <f t="shared" si="4"/>
        <v>8845.7538515950491</v>
      </c>
      <c r="AS25" s="39">
        <f t="shared" si="4"/>
        <v>9450.8634699018749</v>
      </c>
      <c r="AT25" s="39">
        <f t="shared" si="4"/>
        <v>10070.730416866792</v>
      </c>
      <c r="AU25" s="39">
        <f t="shared" si="4"/>
        <v>10705.38773631909</v>
      </c>
      <c r="AV25" s="39">
        <f t="shared" si="4"/>
        <v>11355.576710069718</v>
      </c>
      <c r="AW25" s="39">
        <f t="shared" si="4"/>
        <v>12020.678452433503</v>
      </c>
      <c r="AX25" s="39">
        <f t="shared" si="4"/>
        <v>12701.171542212423</v>
      </c>
      <c r="AY25" s="39">
        <f t="shared" si="4"/>
        <v>13397.885071827213</v>
      </c>
    </row>
    <row r="27" spans="1:51" x14ac:dyDescent="0.35">
      <c r="A27" s="27" t="s">
        <v>112</v>
      </c>
      <c r="B27" s="28" t="s">
        <v>81</v>
      </c>
      <c r="C27" s="46">
        <f>SUM($D$27:$AY$27)</f>
        <v>14060</v>
      </c>
      <c r="D27" s="46">
        <f>ОДДС!$D$28</f>
        <v>760</v>
      </c>
      <c r="E27" s="46">
        <f>ОДДС!$E$28</f>
        <v>760</v>
      </c>
      <c r="F27" s="46">
        <f>ОДДС!$F$28</f>
        <v>760</v>
      </c>
      <c r="G27" s="46">
        <f>ОДДС!$G$28</f>
        <v>760</v>
      </c>
      <c r="H27" s="46">
        <f>ОДДС!$H$28</f>
        <v>760</v>
      </c>
      <c r="I27" s="46">
        <f>ОДДС!$I$28</f>
        <v>760</v>
      </c>
      <c r="J27" s="46">
        <f>ОДДС!$J$28</f>
        <v>760</v>
      </c>
      <c r="K27" s="46">
        <f>ОДДС!$K$28</f>
        <v>728.33333333333337</v>
      </c>
      <c r="L27" s="46">
        <f>ОДДС!$L$28</f>
        <v>696.66666666666663</v>
      </c>
      <c r="M27" s="46">
        <f>ОДДС!$M$28</f>
        <v>665</v>
      </c>
      <c r="N27" s="46">
        <f>ОДДС!$N$28</f>
        <v>633.33333333333337</v>
      </c>
      <c r="O27" s="46">
        <f>ОДДС!$O$28</f>
        <v>601.66666666666663</v>
      </c>
      <c r="P27" s="46">
        <f>ОДДС!$P$28</f>
        <v>570</v>
      </c>
      <c r="Q27" s="46">
        <f>ОДДС!$Q$28</f>
        <v>538.33333333333337</v>
      </c>
      <c r="R27" s="46">
        <f>ОДДС!$R$28</f>
        <v>506.66666666666669</v>
      </c>
      <c r="S27" s="46">
        <f>ОДДС!$S$28</f>
        <v>475</v>
      </c>
      <c r="T27" s="46">
        <f>ОДДС!$T$28</f>
        <v>443.33333333333331</v>
      </c>
      <c r="U27" s="46">
        <f>ОДДС!$U$28</f>
        <v>411.66666666666669</v>
      </c>
      <c r="V27" s="46">
        <f>ОДДС!$V$28</f>
        <v>380</v>
      </c>
      <c r="W27" s="46">
        <f>ОДДС!$W$28</f>
        <v>348.33333333333331</v>
      </c>
      <c r="X27" s="46">
        <f>ОДДС!$X$28</f>
        <v>316.66666666666669</v>
      </c>
      <c r="Y27" s="46">
        <f>ОДДС!$Y$28</f>
        <v>285</v>
      </c>
      <c r="Z27" s="46">
        <f>ОДДС!$Z$28</f>
        <v>253.33333333333334</v>
      </c>
      <c r="AA27" s="46">
        <f>ОДДС!$AA$28</f>
        <v>221.66666666666666</v>
      </c>
      <c r="AB27" s="46">
        <f>ОДДС!$AB$28</f>
        <v>190</v>
      </c>
      <c r="AC27" s="46">
        <f>ОДДС!$AC$28</f>
        <v>158.33333333333334</v>
      </c>
      <c r="AD27" s="46">
        <f>ОДДС!$AD$28</f>
        <v>126.66666666666667</v>
      </c>
      <c r="AE27" s="46">
        <f>ОДДС!$AE$28</f>
        <v>95</v>
      </c>
      <c r="AF27" s="46">
        <f>ОДДС!$AF$28</f>
        <v>63.333333333333336</v>
      </c>
      <c r="AG27" s="46">
        <f>ОДДС!$AG$28</f>
        <v>31.666666666666668</v>
      </c>
      <c r="AH27" s="46">
        <f>ОДДС!$AH$28</f>
        <v>0</v>
      </c>
      <c r="AI27" s="46">
        <f>ОДДС!$AI$28</f>
        <v>0</v>
      </c>
      <c r="AJ27" s="46">
        <f>ОДДС!$AJ$28</f>
        <v>0</v>
      </c>
      <c r="AK27" s="46">
        <f>ОДДС!$AK$28</f>
        <v>0</v>
      </c>
      <c r="AL27" s="46">
        <f>ОДДС!$AL$28</f>
        <v>0</v>
      </c>
      <c r="AM27" s="46">
        <f>ОДДС!$AM$28</f>
        <v>0</v>
      </c>
      <c r="AN27" s="46">
        <f>ОДДС!$AN$28</f>
        <v>0</v>
      </c>
      <c r="AO27" s="46">
        <f>ОДДС!$AO$28</f>
        <v>0</v>
      </c>
      <c r="AP27" s="46">
        <f>ОДДС!$AP$28</f>
        <v>0</v>
      </c>
      <c r="AQ27" s="46">
        <f>ОДДС!$AQ$28</f>
        <v>0</v>
      </c>
      <c r="AR27" s="46">
        <f>ОДДС!$AR$28</f>
        <v>0</v>
      </c>
      <c r="AS27" s="46">
        <f>ОДДС!$AS$28</f>
        <v>0</v>
      </c>
      <c r="AT27" s="46">
        <f>ОДДС!$AT$28</f>
        <v>0</v>
      </c>
      <c r="AU27" s="46">
        <f>ОДДС!$AU$28</f>
        <v>0</v>
      </c>
      <c r="AV27" s="46">
        <f>ОДДС!$AV$28</f>
        <v>0</v>
      </c>
      <c r="AW27" s="46">
        <f>ОДДС!$AW$28</f>
        <v>0</v>
      </c>
      <c r="AX27" s="46">
        <f>ОДДС!$AX$28</f>
        <v>0</v>
      </c>
      <c r="AY27" s="46">
        <f>ОДДС!$AY$28</f>
        <v>0</v>
      </c>
    </row>
    <row r="28" spans="1:51" x14ac:dyDescent="0.35">
      <c r="A28" s="27" t="s">
        <v>113</v>
      </c>
      <c r="B28" s="28" t="s">
        <v>81</v>
      </c>
      <c r="C28" s="29">
        <f>SUM($D$28:$AY$28)</f>
        <v>100021.13446372558</v>
      </c>
      <c r="D28" s="29">
        <f t="shared" ref="D28:AY28" si="5">D25-D27</f>
        <v>-3353.3333333333335</v>
      </c>
      <c r="E28" s="29">
        <f t="shared" si="5"/>
        <v>-3383.4666666666672</v>
      </c>
      <c r="F28" s="29">
        <f t="shared" si="5"/>
        <v>-3414.001777777778</v>
      </c>
      <c r="G28" s="29">
        <f t="shared" si="5"/>
        <v>-3444.9440237037047</v>
      </c>
      <c r="H28" s="29">
        <f t="shared" si="5"/>
        <v>-3476.2988329086429</v>
      </c>
      <c r="I28" s="29">
        <f t="shared" si="5"/>
        <v>-3508.0717062363142</v>
      </c>
      <c r="J28" s="29">
        <f t="shared" si="5"/>
        <v>-3540.2682178750206</v>
      </c>
      <c r="K28" s="29">
        <f t="shared" si="5"/>
        <v>-3541.2273496689099</v>
      </c>
      <c r="L28" s="29">
        <f t="shared" si="5"/>
        <v>-3542.6214921089395</v>
      </c>
      <c r="M28" s="29">
        <f t="shared" si="5"/>
        <v>-3544.4564453370594</v>
      </c>
      <c r="N28" s="29">
        <f t="shared" si="5"/>
        <v>-3546.7380868304426</v>
      </c>
      <c r="O28" s="29">
        <f t="shared" si="5"/>
        <v>-3549.4723724326259</v>
      </c>
      <c r="P28" s="29">
        <f t="shared" si="5"/>
        <v>-3254.0593616743818</v>
      </c>
      <c r="Q28" s="29">
        <f t="shared" si="5"/>
        <v>-2951.6237179957052</v>
      </c>
      <c r="R28" s="29">
        <f t="shared" si="5"/>
        <v>-2641.0679247633093</v>
      </c>
      <c r="S28" s="29">
        <f t="shared" si="5"/>
        <v>-2323.3703473141923</v>
      </c>
      <c r="T28" s="29">
        <f t="shared" si="5"/>
        <v>-1997.0511926994182</v>
      </c>
      <c r="U28" s="29">
        <f t="shared" si="5"/>
        <v>-1663.1065626771447</v>
      </c>
      <c r="V28" s="29">
        <f t="shared" si="5"/>
        <v>-1320.376282009139</v>
      </c>
      <c r="W28" s="29">
        <f t="shared" si="5"/>
        <v>-969.70247303322685</v>
      </c>
      <c r="X28" s="29">
        <f t="shared" si="5"/>
        <v>-609.89230490145565</v>
      </c>
      <c r="Y28" s="29">
        <f t="shared" si="5"/>
        <v>-241.80897475663625</v>
      </c>
      <c r="Z28" s="29">
        <f t="shared" si="5"/>
        <v>135.57986855391536</v>
      </c>
      <c r="AA28" s="29">
        <f t="shared" si="5"/>
        <v>521.77494608271593</v>
      </c>
      <c r="AB28" s="29">
        <f t="shared" si="5"/>
        <v>934.87059972969814</v>
      </c>
      <c r="AC28" s="29">
        <f t="shared" si="5"/>
        <v>1358.5035615775987</v>
      </c>
      <c r="AD28" s="29">
        <f t="shared" si="5"/>
        <v>1791.7649959009723</v>
      </c>
      <c r="AE28" s="29">
        <f t="shared" si="5"/>
        <v>2235.4067048768352</v>
      </c>
      <c r="AF28" s="29">
        <f t="shared" si="5"/>
        <v>2690.2139867624005</v>
      </c>
      <c r="AG28" s="29">
        <f t="shared" si="5"/>
        <v>3155.2438472366152</v>
      </c>
      <c r="AH28" s="29">
        <f t="shared" si="5"/>
        <v>3631.0655371888897</v>
      </c>
      <c r="AI28" s="29">
        <f t="shared" si="5"/>
        <v>4087.2608850830316</v>
      </c>
      <c r="AJ28" s="29">
        <f t="shared" si="5"/>
        <v>4554.3052233835342</v>
      </c>
      <c r="AK28" s="29">
        <f t="shared" si="5"/>
        <v>5033.018193955445</v>
      </c>
      <c r="AL28" s="29">
        <f t="shared" si="5"/>
        <v>5524.2557807533349</v>
      </c>
      <c r="AM28" s="29">
        <f t="shared" si="5"/>
        <v>6027.0027966108537</v>
      </c>
      <c r="AN28" s="29">
        <f t="shared" si="5"/>
        <v>6563.82945656216</v>
      </c>
      <c r="AO28" s="29">
        <f t="shared" si="5"/>
        <v>7113.6040644662216</v>
      </c>
      <c r="AP28" s="29">
        <f t="shared" si="5"/>
        <v>7677.7150371467715</v>
      </c>
      <c r="AQ28" s="29">
        <f t="shared" si="5"/>
        <v>8254.6311733329694</v>
      </c>
      <c r="AR28" s="29">
        <f t="shared" si="5"/>
        <v>8845.7538515950491</v>
      </c>
      <c r="AS28" s="29">
        <f t="shared" si="5"/>
        <v>9450.8634699018749</v>
      </c>
      <c r="AT28" s="29">
        <f t="shared" si="5"/>
        <v>10070.730416866792</v>
      </c>
      <c r="AU28" s="29">
        <f t="shared" si="5"/>
        <v>10705.38773631909</v>
      </c>
      <c r="AV28" s="29">
        <f t="shared" si="5"/>
        <v>11355.576710069718</v>
      </c>
      <c r="AW28" s="29">
        <f t="shared" si="5"/>
        <v>12020.678452433503</v>
      </c>
      <c r="AX28" s="29">
        <f t="shared" si="5"/>
        <v>12701.171542212423</v>
      </c>
      <c r="AY28" s="29">
        <f t="shared" si="5"/>
        <v>13397.885071827213</v>
      </c>
    </row>
    <row r="29" spans="1:51" x14ac:dyDescent="0.35">
      <c r="A29" s="27" t="s">
        <v>114</v>
      </c>
      <c r="B29" s="28" t="s">
        <v>81</v>
      </c>
      <c r="C29" s="29">
        <f>SUM($D$29:$AY$29)</f>
        <v>39959.523477607399</v>
      </c>
      <c r="D29" s="29">
        <f>MAX(0,D28)*НАСТРОЙКИ!$B$12</f>
        <v>0</v>
      </c>
      <c r="E29" s="29">
        <f>MAX(0,E28)*НАСТРОЙКИ!$B$12</f>
        <v>0</v>
      </c>
      <c r="F29" s="29">
        <f>MAX(0,F28)*НАСТРОЙКИ!$B$12</f>
        <v>0</v>
      </c>
      <c r="G29" s="29">
        <f>MAX(0,G28)*НАСТРОЙКИ!$B$12</f>
        <v>0</v>
      </c>
      <c r="H29" s="29">
        <f>MAX(0,H28)*НАСТРОЙКИ!$B$12</f>
        <v>0</v>
      </c>
      <c r="I29" s="29">
        <f>MAX(0,I28)*НАСТРОЙКИ!$B$12</f>
        <v>0</v>
      </c>
      <c r="J29" s="29">
        <f>MAX(0,J28)*НАСТРОЙКИ!$B$12</f>
        <v>0</v>
      </c>
      <c r="K29" s="29">
        <f>MAX(0,K28)*НАСТРОЙКИ!$B$12</f>
        <v>0</v>
      </c>
      <c r="L29" s="29">
        <f>MAX(0,L28)*НАСТРОЙКИ!$B$12</f>
        <v>0</v>
      </c>
      <c r="M29" s="29">
        <f>MAX(0,M28)*НАСТРОЙКИ!$B$12</f>
        <v>0</v>
      </c>
      <c r="N29" s="29">
        <f>MAX(0,N28)*НАСТРОЙКИ!$B$12</f>
        <v>0</v>
      </c>
      <c r="O29" s="29">
        <f>MAX(0,O28)*НАСТРОЙКИ!$B$12</f>
        <v>0</v>
      </c>
      <c r="P29" s="29">
        <f>MAX(0,P28)*НАСТРОЙКИ!$B$12</f>
        <v>0</v>
      </c>
      <c r="Q29" s="29">
        <f>MAX(0,Q28)*НАСТРОЙКИ!$B$12</f>
        <v>0</v>
      </c>
      <c r="R29" s="29">
        <f>MAX(0,R28)*НАСТРОЙКИ!$B$12</f>
        <v>0</v>
      </c>
      <c r="S29" s="29">
        <f>MAX(0,S28)*НАСТРОЙКИ!$B$12</f>
        <v>0</v>
      </c>
      <c r="T29" s="29">
        <f>MAX(0,T28)*НАСТРОЙКИ!$B$12</f>
        <v>0</v>
      </c>
      <c r="U29" s="29">
        <f>MAX(0,U28)*НАСТРОЙКИ!$B$12</f>
        <v>0</v>
      </c>
      <c r="V29" s="29">
        <f>MAX(0,V28)*НАСТРОЙКИ!$B$12</f>
        <v>0</v>
      </c>
      <c r="W29" s="29">
        <f>MAX(0,W28)*НАСТРОЙКИ!$B$12</f>
        <v>0</v>
      </c>
      <c r="X29" s="29">
        <f>MAX(0,X28)*НАСТРОЙКИ!$B$12</f>
        <v>0</v>
      </c>
      <c r="Y29" s="29">
        <f>MAX(0,Y28)*НАСТРОЙКИ!$B$12</f>
        <v>0</v>
      </c>
      <c r="Z29" s="29">
        <f>MAX(0,Z28)*НАСТРОЙКИ!$B$12</f>
        <v>33.89496713847884</v>
      </c>
      <c r="AA29" s="29">
        <f>MAX(0,AA28)*НАСТРОЙКИ!$B$12</f>
        <v>130.44373652067898</v>
      </c>
      <c r="AB29" s="29">
        <f>MAX(0,AB28)*НАСТРОЙКИ!$B$12</f>
        <v>233.71764993242454</v>
      </c>
      <c r="AC29" s="29">
        <f>MAX(0,AC28)*НАСТРОЙКИ!$B$12</f>
        <v>339.62589039439968</v>
      </c>
      <c r="AD29" s="29">
        <f>MAX(0,AD28)*НАСТРОЙКИ!$B$12</f>
        <v>447.94124897524307</v>
      </c>
      <c r="AE29" s="29">
        <f>MAX(0,AE28)*НАСТРОЙКИ!$B$12</f>
        <v>558.8516762192088</v>
      </c>
      <c r="AF29" s="29">
        <f>MAX(0,AF28)*НАСТРОЙКИ!$B$12</f>
        <v>672.55349669060013</v>
      </c>
      <c r="AG29" s="29">
        <f>MAX(0,AG28)*НАСТРОЙКИ!$B$12</f>
        <v>788.81096180915381</v>
      </c>
      <c r="AH29" s="29">
        <f>MAX(0,AH28)*НАСТРОЙКИ!$B$12</f>
        <v>907.76638429722243</v>
      </c>
      <c r="AI29" s="29">
        <f>MAX(0,AI28)*НАСТРОЙКИ!$B$12</f>
        <v>1021.8152212707579</v>
      </c>
      <c r="AJ29" s="29">
        <f>MAX(0,AJ28)*НАСТРОЙКИ!$B$12</f>
        <v>1138.5763058458836</v>
      </c>
      <c r="AK29" s="29">
        <f>MAX(0,AK28)*НАСТРОЙКИ!$B$12</f>
        <v>1258.2545484888612</v>
      </c>
      <c r="AL29" s="29">
        <f>MAX(0,AL28)*НАСТРОЙКИ!$B$12</f>
        <v>1381.0639451883337</v>
      </c>
      <c r="AM29" s="29">
        <f>MAX(0,AM28)*НАСТРОЙКИ!$B$12</f>
        <v>1506.7506991527134</v>
      </c>
      <c r="AN29" s="29">
        <f>MAX(0,AN28)*НАСТРОЙКИ!$B$12</f>
        <v>1640.95736414054</v>
      </c>
      <c r="AO29" s="29">
        <f>MAX(0,AO28)*НАСТРОЙКИ!$B$12</f>
        <v>1778.4010161165554</v>
      </c>
      <c r="AP29" s="29">
        <f>MAX(0,AP28)*НАСТРОЙКИ!$B$12</f>
        <v>1919.4287592866929</v>
      </c>
      <c r="AQ29" s="29">
        <f>MAX(0,AQ28)*НАСТРОЙКИ!$B$12</f>
        <v>2063.6577933332424</v>
      </c>
      <c r="AR29" s="29">
        <f>MAX(0,AR28)*НАСТРОЙКИ!$B$12</f>
        <v>2211.4384628987623</v>
      </c>
      <c r="AS29" s="29">
        <f>MAX(0,AS28)*НАСТРОЙКИ!$B$12</f>
        <v>2362.7158674754687</v>
      </c>
      <c r="AT29" s="29">
        <f>MAX(0,AT28)*НАСТРОЙКИ!$B$12</f>
        <v>2517.6826042166981</v>
      </c>
      <c r="AU29" s="29">
        <f>MAX(0,AU28)*НАСТРОЙКИ!$B$12</f>
        <v>2676.3469340797724</v>
      </c>
      <c r="AV29" s="29">
        <f>MAX(0,AV28)*НАСТРОЙКИ!$B$12</f>
        <v>2838.8941775174294</v>
      </c>
      <c r="AW29" s="29">
        <f>MAX(0,AW28)*НАСТРОЙКИ!$B$12</f>
        <v>3005.1696131083759</v>
      </c>
      <c r="AX29" s="29">
        <f>MAX(0,AX28)*НАСТРОЙКИ!$B$12</f>
        <v>3175.2928855531059</v>
      </c>
      <c r="AY29" s="29">
        <f>MAX(0,AY28)*НАСТРОЙКИ!$B$12</f>
        <v>3349.4712679568033</v>
      </c>
    </row>
    <row r="30" spans="1:51" x14ac:dyDescent="0.35">
      <c r="A30" s="47" t="s">
        <v>115</v>
      </c>
      <c r="B30" s="48" t="s">
        <v>81</v>
      </c>
      <c r="C30" s="49">
        <f>SUM($D$30:$AY$30)</f>
        <v>60061.610986118176</v>
      </c>
      <c r="D30" s="49">
        <f t="shared" ref="D30:AY30" si="6">D28-D29</f>
        <v>-3353.3333333333335</v>
      </c>
      <c r="E30" s="49">
        <f t="shared" si="6"/>
        <v>-3383.4666666666672</v>
      </c>
      <c r="F30" s="49">
        <f t="shared" si="6"/>
        <v>-3414.001777777778</v>
      </c>
      <c r="G30" s="49">
        <f t="shared" si="6"/>
        <v>-3444.9440237037047</v>
      </c>
      <c r="H30" s="49">
        <f t="shared" si="6"/>
        <v>-3476.2988329086429</v>
      </c>
      <c r="I30" s="49">
        <f t="shared" si="6"/>
        <v>-3508.0717062363142</v>
      </c>
      <c r="J30" s="49">
        <f t="shared" si="6"/>
        <v>-3540.2682178750206</v>
      </c>
      <c r="K30" s="49">
        <f t="shared" si="6"/>
        <v>-3541.2273496689099</v>
      </c>
      <c r="L30" s="49">
        <f t="shared" si="6"/>
        <v>-3542.6214921089395</v>
      </c>
      <c r="M30" s="49">
        <f t="shared" si="6"/>
        <v>-3544.4564453370594</v>
      </c>
      <c r="N30" s="49">
        <f t="shared" si="6"/>
        <v>-3546.7380868304426</v>
      </c>
      <c r="O30" s="49">
        <f t="shared" si="6"/>
        <v>-3549.4723724326259</v>
      </c>
      <c r="P30" s="49">
        <f t="shared" si="6"/>
        <v>-3254.0593616743818</v>
      </c>
      <c r="Q30" s="49">
        <f t="shared" si="6"/>
        <v>-2951.6237179957052</v>
      </c>
      <c r="R30" s="49">
        <f t="shared" si="6"/>
        <v>-2641.0679247633093</v>
      </c>
      <c r="S30" s="49">
        <f t="shared" si="6"/>
        <v>-2323.3703473141923</v>
      </c>
      <c r="T30" s="49">
        <f t="shared" si="6"/>
        <v>-1997.0511926994182</v>
      </c>
      <c r="U30" s="49">
        <f t="shared" si="6"/>
        <v>-1663.1065626771447</v>
      </c>
      <c r="V30" s="49">
        <f t="shared" si="6"/>
        <v>-1320.376282009139</v>
      </c>
      <c r="W30" s="49">
        <f t="shared" si="6"/>
        <v>-969.70247303322685</v>
      </c>
      <c r="X30" s="49">
        <f t="shared" si="6"/>
        <v>-609.89230490145565</v>
      </c>
      <c r="Y30" s="49">
        <f t="shared" si="6"/>
        <v>-241.80897475663625</v>
      </c>
      <c r="Z30" s="49">
        <f t="shared" si="6"/>
        <v>101.68490141543651</v>
      </c>
      <c r="AA30" s="49">
        <f t="shared" si="6"/>
        <v>391.33120956203697</v>
      </c>
      <c r="AB30" s="49">
        <f t="shared" si="6"/>
        <v>701.15294979727355</v>
      </c>
      <c r="AC30" s="49">
        <f t="shared" si="6"/>
        <v>1018.877671183199</v>
      </c>
      <c r="AD30" s="49">
        <f t="shared" si="6"/>
        <v>1343.8237469257292</v>
      </c>
      <c r="AE30" s="49">
        <f t="shared" si="6"/>
        <v>1676.5550286576263</v>
      </c>
      <c r="AF30" s="49">
        <f t="shared" si="6"/>
        <v>2017.6604900718003</v>
      </c>
      <c r="AG30" s="49">
        <f t="shared" si="6"/>
        <v>2366.4328854274613</v>
      </c>
      <c r="AH30" s="49">
        <f t="shared" si="6"/>
        <v>2723.2991528916673</v>
      </c>
      <c r="AI30" s="49">
        <f t="shared" si="6"/>
        <v>3065.4456638122738</v>
      </c>
      <c r="AJ30" s="49">
        <f t="shared" si="6"/>
        <v>3415.7289175376509</v>
      </c>
      <c r="AK30" s="49">
        <f t="shared" si="6"/>
        <v>3774.7636454665835</v>
      </c>
      <c r="AL30" s="49">
        <f t="shared" si="6"/>
        <v>4143.1918355650014</v>
      </c>
      <c r="AM30" s="49">
        <f t="shared" si="6"/>
        <v>4520.2520974581403</v>
      </c>
      <c r="AN30" s="49">
        <f t="shared" si="6"/>
        <v>4922.8720924216195</v>
      </c>
      <c r="AO30" s="49">
        <f t="shared" si="6"/>
        <v>5335.2030483496665</v>
      </c>
      <c r="AP30" s="49">
        <f t="shared" si="6"/>
        <v>5758.2862778600784</v>
      </c>
      <c r="AQ30" s="49">
        <f t="shared" si="6"/>
        <v>6190.9733799997266</v>
      </c>
      <c r="AR30" s="49">
        <f t="shared" si="6"/>
        <v>6634.3153886962864</v>
      </c>
      <c r="AS30" s="49">
        <f t="shared" si="6"/>
        <v>7088.1476024264066</v>
      </c>
      <c r="AT30" s="49">
        <f t="shared" si="6"/>
        <v>7553.0478126500948</v>
      </c>
      <c r="AU30" s="49">
        <f t="shared" si="6"/>
        <v>8029.0408022393167</v>
      </c>
      <c r="AV30" s="49">
        <f t="shared" si="6"/>
        <v>8516.6825325522877</v>
      </c>
      <c r="AW30" s="49">
        <f t="shared" si="6"/>
        <v>9015.5088393251281</v>
      </c>
      <c r="AX30" s="49">
        <f t="shared" si="6"/>
        <v>9525.8786566593171</v>
      </c>
      <c r="AY30" s="49">
        <f t="shared" si="6"/>
        <v>10048.41380387041</v>
      </c>
    </row>
    <row r="32" spans="1:51" ht="16" customHeight="1" x14ac:dyDescent="0.35">
      <c r="A32" s="43" t="s">
        <v>116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</row>
    <row r="33" spans="1:51" x14ac:dyDescent="0.35">
      <c r="A33" s="27" t="s">
        <v>117</v>
      </c>
      <c r="B33" s="28" t="s">
        <v>118</v>
      </c>
      <c r="C33" s="50">
        <f>IFERROR($C$23/$C$7,0)</f>
        <v>0.26880284369791896</v>
      </c>
      <c r="D33" s="50">
        <f t="shared" ref="D33:AY33" si="7">IFERROR(D23/D7,0)</f>
        <v>0</v>
      </c>
      <c r="E33" s="50">
        <f t="shared" si="7"/>
        <v>0</v>
      </c>
      <c r="F33" s="50">
        <f t="shared" si="7"/>
        <v>0</v>
      </c>
      <c r="G33" s="50">
        <f t="shared" si="7"/>
        <v>0</v>
      </c>
      <c r="H33" s="50">
        <f t="shared" si="7"/>
        <v>0</v>
      </c>
      <c r="I33" s="50">
        <f t="shared" si="7"/>
        <v>0</v>
      </c>
      <c r="J33" s="50">
        <f t="shared" si="7"/>
        <v>0</v>
      </c>
      <c r="K33" s="50">
        <f t="shared" si="7"/>
        <v>0</v>
      </c>
      <c r="L33" s="50">
        <f t="shared" si="7"/>
        <v>0</v>
      </c>
      <c r="M33" s="50">
        <f t="shared" si="7"/>
        <v>0</v>
      </c>
      <c r="N33" s="50">
        <f t="shared" si="7"/>
        <v>0</v>
      </c>
      <c r="O33" s="50">
        <f t="shared" si="7"/>
        <v>0</v>
      </c>
      <c r="P33" s="50">
        <f t="shared" si="7"/>
        <v>-4.565953823033837</v>
      </c>
      <c r="Q33" s="50">
        <f t="shared" si="7"/>
        <v>-1.9949997151548993</v>
      </c>
      <c r="R33" s="50">
        <f t="shared" si="7"/>
        <v>-1.1362167293161713</v>
      </c>
      <c r="S33" s="50">
        <f t="shared" si="7"/>
        <v>-0.70768325271068722</v>
      </c>
      <c r="T33" s="50">
        <f t="shared" si="7"/>
        <v>-0.44995529264858025</v>
      </c>
      <c r="U33" s="50">
        <f t="shared" si="7"/>
        <v>-0.27841474346313388</v>
      </c>
      <c r="V33" s="50">
        <f t="shared" si="7"/>
        <v>-0.1556914523070112</v>
      </c>
      <c r="W33" s="50">
        <f t="shared" si="7"/>
        <v>-6.3795774306851252E-2</v>
      </c>
      <c r="X33" s="50">
        <f t="shared" si="7"/>
        <v>7.7916047407212037E-3</v>
      </c>
      <c r="Y33" s="50">
        <f t="shared" si="7"/>
        <v>6.4970716255326813E-2</v>
      </c>
      <c r="Z33" s="50">
        <f t="shared" si="7"/>
        <v>0.11180319989724519</v>
      </c>
      <c r="AA33" s="50">
        <f t="shared" si="7"/>
        <v>0.15079262826843304</v>
      </c>
      <c r="AB33" s="50">
        <f t="shared" si="7"/>
        <v>0.18531325204416296</v>
      </c>
      <c r="AC33" s="50">
        <f t="shared" si="7"/>
        <v>0.21473507787739049</v>
      </c>
      <c r="AD33" s="50">
        <f t="shared" si="7"/>
        <v>0.24003944144179376</v>
      </c>
      <c r="AE33" s="50">
        <f t="shared" si="7"/>
        <v>0.26206494597214264</v>
      </c>
      <c r="AF33" s="50">
        <f t="shared" si="7"/>
        <v>0.28143732826041001</v>
      </c>
      <c r="AG33" s="50">
        <f t="shared" si="7"/>
        <v>0.29856032397940757</v>
      </c>
      <c r="AH33" s="50">
        <f t="shared" si="7"/>
        <v>0.3138179573943839</v>
      </c>
      <c r="AI33" s="50">
        <f t="shared" si="7"/>
        <v>0.32753285982711577</v>
      </c>
      <c r="AJ33" s="50">
        <f t="shared" si="7"/>
        <v>0.3398861052676313</v>
      </c>
      <c r="AK33" s="50">
        <f t="shared" si="7"/>
        <v>0.35108685126925243</v>
      </c>
      <c r="AL33" s="50">
        <f t="shared" si="7"/>
        <v>0.36130379708863092</v>
      </c>
      <c r="AM33" s="50">
        <f t="shared" si="7"/>
        <v>0.37063431318327544</v>
      </c>
      <c r="AN33" s="50">
        <f t="shared" si="7"/>
        <v>0.37961501255952795</v>
      </c>
      <c r="AO33" s="50">
        <f t="shared" si="7"/>
        <v>0.38785286630810528</v>
      </c>
      <c r="AP33" s="50">
        <f t="shared" si="7"/>
        <v>0.39545431310217205</v>
      </c>
      <c r="AQ33" s="50">
        <f t="shared" si="7"/>
        <v>0.40246410397004817</v>
      </c>
      <c r="AR33" s="50">
        <f t="shared" si="7"/>
        <v>0.40896409759641578</v>
      </c>
      <c r="AS33" s="50">
        <f t="shared" si="7"/>
        <v>0.41500193106147054</v>
      </c>
      <c r="AT33" s="50">
        <f t="shared" si="7"/>
        <v>0.42063081988391438</v>
      </c>
      <c r="AU33" s="50">
        <f t="shared" si="7"/>
        <v>0.42588832085778827</v>
      </c>
      <c r="AV33" s="50">
        <f t="shared" si="7"/>
        <v>0.43081434901917032</v>
      </c>
      <c r="AW33" s="50">
        <f t="shared" si="7"/>
        <v>0.43543115100472157</v>
      </c>
      <c r="AX33" s="50">
        <f t="shared" si="7"/>
        <v>0.43976860578969512</v>
      </c>
      <c r="AY33" s="50">
        <f t="shared" si="7"/>
        <v>0.44385542168674696</v>
      </c>
    </row>
    <row r="34" spans="1:51" x14ac:dyDescent="0.35">
      <c r="A34" s="27" t="s">
        <v>119</v>
      </c>
      <c r="B34" s="28" t="s">
        <v>118</v>
      </c>
      <c r="C34" s="50">
        <f>IFERROR($C$14/$C$7,0)</f>
        <v>0.46708775744791758</v>
      </c>
      <c r="D34" s="50">
        <f t="shared" ref="D34:AY34" si="8">IFERROR(D14/D7,0)</f>
        <v>0</v>
      </c>
      <c r="E34" s="50">
        <f t="shared" si="8"/>
        <v>0</v>
      </c>
      <c r="F34" s="50">
        <f t="shared" si="8"/>
        <v>0</v>
      </c>
      <c r="G34" s="50">
        <f t="shared" si="8"/>
        <v>0</v>
      </c>
      <c r="H34" s="50">
        <f t="shared" si="8"/>
        <v>0</v>
      </c>
      <c r="I34" s="50">
        <f t="shared" si="8"/>
        <v>0</v>
      </c>
      <c r="J34" s="50">
        <f t="shared" si="8"/>
        <v>0</v>
      </c>
      <c r="K34" s="50">
        <f t="shared" si="8"/>
        <v>0</v>
      </c>
      <c r="L34" s="50">
        <f t="shared" si="8"/>
        <v>0</v>
      </c>
      <c r="M34" s="50">
        <f t="shared" si="8"/>
        <v>0</v>
      </c>
      <c r="N34" s="50">
        <f t="shared" si="8"/>
        <v>0</v>
      </c>
      <c r="O34" s="50">
        <f t="shared" si="8"/>
        <v>0</v>
      </c>
      <c r="P34" s="50">
        <f t="shared" si="8"/>
        <v>-1.2871159888883834</v>
      </c>
      <c r="Q34" s="50">
        <f t="shared" si="8"/>
        <v>-0.35429193204735276</v>
      </c>
      <c r="R34" s="50">
        <f t="shared" si="8"/>
        <v>-4.2698105327106356E-2</v>
      </c>
      <c r="S34" s="50">
        <f t="shared" si="8"/>
        <v>0.11278749237930821</v>
      </c>
      <c r="T34" s="50">
        <f t="shared" si="8"/>
        <v>0.20629940709210798</v>
      </c>
      <c r="U34" s="50">
        <f t="shared" si="8"/>
        <v>0.2685397833452346</v>
      </c>
      <c r="V34" s="50">
        <f t="shared" si="8"/>
        <v>0.31306770314524374</v>
      </c>
      <c r="W34" s="50">
        <f t="shared" si="8"/>
        <v>0.34641038277362035</v>
      </c>
      <c r="X34" s="50">
        <f t="shared" si="8"/>
        <v>0.37238456455194313</v>
      </c>
      <c r="Y34" s="50">
        <f t="shared" si="8"/>
        <v>0.39313096784485313</v>
      </c>
      <c r="Z34" s="50">
        <f t="shared" si="8"/>
        <v>0.4101232849184695</v>
      </c>
      <c r="AA34" s="50">
        <f t="shared" si="8"/>
        <v>0.42426989167261731</v>
      </c>
      <c r="AB34" s="50">
        <f t="shared" si="8"/>
        <v>0.43679507375053706</v>
      </c>
      <c r="AC34" s="50">
        <f t="shared" si="8"/>
        <v>0.44747024949533637</v>
      </c>
      <c r="AD34" s="50">
        <f t="shared" si="8"/>
        <v>0.45665147875321727</v>
      </c>
      <c r="AE34" s="50">
        <f t="shared" si="8"/>
        <v>0.46464303349431729</v>
      </c>
      <c r="AF34" s="50">
        <f t="shared" si="8"/>
        <v>0.47167195096174169</v>
      </c>
      <c r="AG34" s="50">
        <f t="shared" si="8"/>
        <v>0.47788471931996207</v>
      </c>
      <c r="AH34" s="50">
        <f t="shared" si="8"/>
        <v>0.48342067480681183</v>
      </c>
      <c r="AI34" s="50">
        <f t="shared" si="8"/>
        <v>0.48839687834435175</v>
      </c>
      <c r="AJ34" s="50">
        <f t="shared" si="8"/>
        <v>0.49287902934489281</v>
      </c>
      <c r="AK34" s="50">
        <f t="shared" si="8"/>
        <v>0.49694301683220665</v>
      </c>
      <c r="AL34" s="50">
        <f t="shared" si="8"/>
        <v>0.50065005027109621</v>
      </c>
      <c r="AM34" s="50">
        <f t="shared" si="8"/>
        <v>0.50403545876561318</v>
      </c>
      <c r="AN34" s="50">
        <f t="shared" si="8"/>
        <v>0.5072939426100942</v>
      </c>
      <c r="AO34" s="50">
        <f t="shared" si="8"/>
        <v>0.5102828983949762</v>
      </c>
      <c r="AP34" s="50">
        <f t="shared" si="8"/>
        <v>0.51304094546184997</v>
      </c>
      <c r="AQ34" s="50">
        <f t="shared" si="8"/>
        <v>0.51558432090948647</v>
      </c>
      <c r="AR34" s="50">
        <f t="shared" si="8"/>
        <v>0.51794272567657562</v>
      </c>
      <c r="AS34" s="50">
        <f t="shared" si="8"/>
        <v>0.52013344401345396</v>
      </c>
      <c r="AT34" s="50">
        <f t="shared" si="8"/>
        <v>0.52217578420566813</v>
      </c>
      <c r="AU34" s="50">
        <f t="shared" si="8"/>
        <v>0.52408337305459574</v>
      </c>
      <c r="AV34" s="50">
        <f t="shared" si="8"/>
        <v>0.52587069300695566</v>
      </c>
      <c r="AW34" s="50">
        <f t="shared" si="8"/>
        <v>0.52754581585127069</v>
      </c>
      <c r="AX34" s="50">
        <f t="shared" si="8"/>
        <v>0.52911958263165926</v>
      </c>
      <c r="AY34" s="50">
        <f t="shared" si="8"/>
        <v>0.53060240963855421</v>
      </c>
    </row>
    <row r="35" spans="1:51" x14ac:dyDescent="0.35">
      <c r="A35" s="27" t="s">
        <v>120</v>
      </c>
      <c r="B35" s="28" t="s">
        <v>118</v>
      </c>
      <c r="C35" s="50">
        <f>IFERROR($C$30/$C$7,0)</f>
        <v>0.12411278466093678</v>
      </c>
      <c r="D35" s="50">
        <f t="shared" ref="D35:AY35" si="9">IFERROR(D30/D7,0)</f>
        <v>0</v>
      </c>
      <c r="E35" s="50">
        <f t="shared" si="9"/>
        <v>0</v>
      </c>
      <c r="F35" s="50">
        <f t="shared" si="9"/>
        <v>0</v>
      </c>
      <c r="G35" s="50">
        <f t="shared" si="9"/>
        <v>0</v>
      </c>
      <c r="H35" s="50">
        <f t="shared" si="9"/>
        <v>0</v>
      </c>
      <c r="I35" s="50">
        <f t="shared" si="9"/>
        <v>0</v>
      </c>
      <c r="J35" s="50">
        <f t="shared" si="9"/>
        <v>0</v>
      </c>
      <c r="K35" s="50">
        <f t="shared" si="9"/>
        <v>0</v>
      </c>
      <c r="L35" s="50">
        <f t="shared" si="9"/>
        <v>0</v>
      </c>
      <c r="M35" s="50">
        <f t="shared" si="9"/>
        <v>0</v>
      </c>
      <c r="N35" s="50">
        <f t="shared" si="9"/>
        <v>0</v>
      </c>
      <c r="O35" s="50">
        <f t="shared" si="9"/>
        <v>0</v>
      </c>
      <c r="P35" s="50">
        <f t="shared" si="9"/>
        <v>-6.3205514397191074</v>
      </c>
      <c r="Q35" s="50">
        <f t="shared" si="9"/>
        <v>-2.8310625322206948</v>
      </c>
      <c r="R35" s="50">
        <f t="shared" si="9"/>
        <v>-1.6661368059012953</v>
      </c>
      <c r="S35" s="50">
        <f t="shared" si="9"/>
        <v>-1.0852608018589569</v>
      </c>
      <c r="T35" s="50">
        <f t="shared" si="9"/>
        <v>-0.73631198583482171</v>
      </c>
      <c r="U35" s="50">
        <f t="shared" si="9"/>
        <v>-0.50433512385472279</v>
      </c>
      <c r="V35" s="50">
        <f t="shared" si="9"/>
        <v>-0.33864375063768515</v>
      </c>
      <c r="W35" s="50">
        <f t="shared" si="9"/>
        <v>-0.21477510346646009</v>
      </c>
      <c r="X35" s="50">
        <f t="shared" si="9"/>
        <v>-0.11848199609884916</v>
      </c>
      <c r="Y35" s="50">
        <f t="shared" si="9"/>
        <v>-4.1725062214546492E-2</v>
      </c>
      <c r="Z35" s="50">
        <f t="shared" si="9"/>
        <v>1.5740743368204035E-2</v>
      </c>
      <c r="AA35" s="50">
        <f t="shared" si="9"/>
        <v>5.4802409573143508E-2</v>
      </c>
      <c r="AB35" s="50">
        <f t="shared" si="9"/>
        <v>8.9104774964061287E-2</v>
      </c>
      <c r="AC35" s="50">
        <f t="shared" si="9"/>
        <v>0.11825332216953895</v>
      </c>
      <c r="AD35" s="50">
        <f t="shared" si="9"/>
        <v>0.14325238299532408</v>
      </c>
      <c r="AE35" s="50">
        <f t="shared" si="9"/>
        <v>0.16494338663006533</v>
      </c>
      <c r="AF35" s="50">
        <f t="shared" si="9"/>
        <v>0.18395430255186743</v>
      </c>
      <c r="AG35" s="50">
        <f t="shared" si="9"/>
        <v>0.20070284889592702</v>
      </c>
      <c r="AH35" s="50">
        <f t="shared" si="9"/>
        <v>0.2155737112854493</v>
      </c>
      <c r="AI35" s="50">
        <f t="shared" si="9"/>
        <v>0.22712652084876292</v>
      </c>
      <c r="AJ35" s="50">
        <f t="shared" si="9"/>
        <v>0.23752959327085255</v>
      </c>
      <c r="AK35" s="50">
        <f t="shared" si="9"/>
        <v>0.24695920046111269</v>
      </c>
      <c r="AL35" s="50">
        <f t="shared" si="9"/>
        <v>0.25555751916027969</v>
      </c>
      <c r="AM35" s="50">
        <f t="shared" si="9"/>
        <v>0.26340754597373134</v>
      </c>
      <c r="AN35" s="50">
        <f t="shared" si="9"/>
        <v>0.27095143439725872</v>
      </c>
      <c r="AO35" s="50">
        <f t="shared" si="9"/>
        <v>0.27786910028941492</v>
      </c>
      <c r="AP35" s="50">
        <f t="shared" si="9"/>
        <v>0.2842498309020135</v>
      </c>
      <c r="AQ35" s="50">
        <f t="shared" si="9"/>
        <v>0.29013214390323827</v>
      </c>
      <c r="AR35" s="50">
        <f t="shared" si="9"/>
        <v>0.29558459914871804</v>
      </c>
      <c r="AS35" s="50">
        <f t="shared" si="9"/>
        <v>0.30064756482443544</v>
      </c>
      <c r="AT35" s="50">
        <f t="shared" si="9"/>
        <v>0.30536574653306059</v>
      </c>
      <c r="AU35" s="50">
        <f t="shared" si="9"/>
        <v>0.30977091311466948</v>
      </c>
      <c r="AV35" s="50">
        <f t="shared" si="9"/>
        <v>0.3138965932187332</v>
      </c>
      <c r="AW35" s="50">
        <f t="shared" si="9"/>
        <v>0.31776182983112722</v>
      </c>
      <c r="AX35" s="50">
        <f t="shared" si="9"/>
        <v>0.32139175333159559</v>
      </c>
      <c r="AY35" s="50">
        <f t="shared" si="9"/>
        <v>0.32481042938794347</v>
      </c>
    </row>
  </sheetData>
  <mergeCells count="1">
    <mergeCell ref="A1:AY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33C00"/>
  </sheetPr>
  <dimension ref="A1:AY37"/>
  <sheetViews>
    <sheetView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4.5" x14ac:dyDescent="0.35"/>
  <cols>
    <col min="1" max="1" width="38" customWidth="1"/>
    <col min="2" max="2" width="12" customWidth="1"/>
    <col min="3" max="3" width="14" customWidth="1"/>
    <col min="4" max="51" width="10.453125" customWidth="1"/>
  </cols>
  <sheetData>
    <row r="1" spans="1:51" ht="26" customHeight="1" x14ac:dyDescent="0.35">
      <c r="A1" s="96" t="s">
        <v>121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</row>
    <row r="3" spans="1:51" x14ac:dyDescent="0.35">
      <c r="A3" s="17" t="s">
        <v>70</v>
      </c>
      <c r="B3" s="18" t="s">
        <v>71</v>
      </c>
      <c r="C3" s="18" t="s">
        <v>72</v>
      </c>
    </row>
    <row r="4" spans="1:51" x14ac:dyDescent="0.35">
      <c r="A4" s="19"/>
      <c r="B4" s="19"/>
      <c r="C4" s="20" t="s">
        <v>72</v>
      </c>
      <c r="D4" s="21">
        <v>45658</v>
      </c>
      <c r="E4" s="21">
        <v>45689</v>
      </c>
      <c r="F4" s="21">
        <v>45717</v>
      </c>
      <c r="G4" s="21">
        <v>45748</v>
      </c>
      <c r="H4" s="21">
        <v>45778</v>
      </c>
      <c r="I4" s="21">
        <v>45809</v>
      </c>
      <c r="J4" s="21">
        <v>45839</v>
      </c>
      <c r="K4" s="21">
        <v>45870</v>
      </c>
      <c r="L4" s="21">
        <v>45901</v>
      </c>
      <c r="M4" s="21">
        <v>45931</v>
      </c>
      <c r="N4" s="21">
        <v>45962</v>
      </c>
      <c r="O4" s="21">
        <v>45992</v>
      </c>
      <c r="P4" s="22">
        <v>46023</v>
      </c>
      <c r="Q4" s="22">
        <v>46054</v>
      </c>
      <c r="R4" s="22">
        <v>46082</v>
      </c>
      <c r="S4" s="22">
        <v>46113</v>
      </c>
      <c r="T4" s="22">
        <v>46143</v>
      </c>
      <c r="U4" s="22">
        <v>46174</v>
      </c>
      <c r="V4" s="22">
        <v>46204</v>
      </c>
      <c r="W4" s="22">
        <v>46235</v>
      </c>
      <c r="X4" s="22">
        <v>46266</v>
      </c>
      <c r="Y4" s="22">
        <v>46296</v>
      </c>
      <c r="Z4" s="22">
        <v>46327</v>
      </c>
      <c r="AA4" s="22">
        <v>46357</v>
      </c>
      <c r="AB4" s="22">
        <v>46388</v>
      </c>
      <c r="AC4" s="22">
        <v>46419</v>
      </c>
      <c r="AD4" s="22">
        <v>46447</v>
      </c>
      <c r="AE4" s="22">
        <v>46478</v>
      </c>
      <c r="AF4" s="22">
        <v>46508</v>
      </c>
      <c r="AG4" s="22">
        <v>46539</v>
      </c>
      <c r="AH4" s="22">
        <v>46569</v>
      </c>
      <c r="AI4" s="22">
        <v>46600</v>
      </c>
      <c r="AJ4" s="22">
        <v>46631</v>
      </c>
      <c r="AK4" s="22">
        <v>46661</v>
      </c>
      <c r="AL4" s="22">
        <v>46692</v>
      </c>
      <c r="AM4" s="22">
        <v>46722</v>
      </c>
      <c r="AN4" s="22">
        <v>46753</v>
      </c>
      <c r="AO4" s="22">
        <v>46784</v>
      </c>
      <c r="AP4" s="22">
        <v>46813</v>
      </c>
      <c r="AQ4" s="22">
        <v>46844</v>
      </c>
      <c r="AR4" s="22">
        <v>46874</v>
      </c>
      <c r="AS4" s="22">
        <v>46905</v>
      </c>
      <c r="AT4" s="22">
        <v>46935</v>
      </c>
      <c r="AU4" s="22">
        <v>46966</v>
      </c>
      <c r="AV4" s="22">
        <v>46997</v>
      </c>
      <c r="AW4" s="22">
        <v>47027</v>
      </c>
      <c r="AX4" s="22">
        <v>47058</v>
      </c>
      <c r="AY4" s="22">
        <v>47088</v>
      </c>
    </row>
    <row r="5" spans="1:51" x14ac:dyDescent="0.35">
      <c r="A5" s="19"/>
      <c r="B5" s="19"/>
      <c r="C5" s="19"/>
      <c r="D5" s="23">
        <v>1</v>
      </c>
      <c r="E5" s="23">
        <v>2</v>
      </c>
      <c r="F5" s="23">
        <v>3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  <c r="N5" s="23">
        <v>11</v>
      </c>
      <c r="O5" s="23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4">
        <v>24</v>
      </c>
      <c r="AB5" s="24">
        <v>25</v>
      </c>
      <c r="AC5" s="24">
        <v>26</v>
      </c>
      <c r="AD5" s="24">
        <v>27</v>
      </c>
      <c r="AE5" s="24">
        <v>28</v>
      </c>
      <c r="AF5" s="24">
        <v>29</v>
      </c>
      <c r="AG5" s="24">
        <v>30</v>
      </c>
      <c r="AH5" s="24">
        <v>31</v>
      </c>
      <c r="AI5" s="24">
        <v>32</v>
      </c>
      <c r="AJ5" s="24">
        <v>33</v>
      </c>
      <c r="AK5" s="24">
        <v>34</v>
      </c>
      <c r="AL5" s="24">
        <v>35</v>
      </c>
      <c r="AM5" s="24">
        <v>36</v>
      </c>
      <c r="AN5" s="24">
        <v>37</v>
      </c>
      <c r="AO5" s="24">
        <v>38</v>
      </c>
      <c r="AP5" s="24">
        <v>39</v>
      </c>
      <c r="AQ5" s="24">
        <v>40</v>
      </c>
      <c r="AR5" s="24">
        <v>41</v>
      </c>
      <c r="AS5" s="24">
        <v>42</v>
      </c>
      <c r="AT5" s="24">
        <v>43</v>
      </c>
      <c r="AU5" s="24">
        <v>44</v>
      </c>
      <c r="AV5" s="24">
        <v>45</v>
      </c>
      <c r="AW5" s="24">
        <v>46</v>
      </c>
      <c r="AX5" s="24">
        <v>47</v>
      </c>
      <c r="AY5" s="24">
        <v>48</v>
      </c>
    </row>
    <row r="6" spans="1:51" ht="16" customHeight="1" x14ac:dyDescent="0.35">
      <c r="A6" s="51" t="s">
        <v>122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</row>
    <row r="7" spans="1:51" x14ac:dyDescent="0.35">
      <c r="A7" s="27" t="s">
        <v>123</v>
      </c>
      <c r="B7" s="28" t="s">
        <v>81</v>
      </c>
      <c r="C7" s="46">
        <f>SUM($D$7:$AY$7)</f>
        <v>60061.610986118176</v>
      </c>
      <c r="D7" s="46">
        <f>'P&amp;L'!$D$30</f>
        <v>-3353.3333333333335</v>
      </c>
      <c r="E7" s="46">
        <f>'P&amp;L'!$E$30</f>
        <v>-3383.4666666666672</v>
      </c>
      <c r="F7" s="46">
        <f>'P&amp;L'!$F$30</f>
        <v>-3414.001777777778</v>
      </c>
      <c r="G7" s="46">
        <f>'P&amp;L'!$G$30</f>
        <v>-3444.9440237037047</v>
      </c>
      <c r="H7" s="46">
        <f>'P&amp;L'!$H$30</f>
        <v>-3476.2988329086429</v>
      </c>
      <c r="I7" s="46">
        <f>'P&amp;L'!$I$30</f>
        <v>-3508.0717062363142</v>
      </c>
      <c r="J7" s="46">
        <f>'P&amp;L'!$J$30</f>
        <v>-3540.2682178750206</v>
      </c>
      <c r="K7" s="46">
        <f>'P&amp;L'!$K$30</f>
        <v>-3541.2273496689099</v>
      </c>
      <c r="L7" s="46">
        <f>'P&amp;L'!$L$30</f>
        <v>-3542.6214921089395</v>
      </c>
      <c r="M7" s="46">
        <f>'P&amp;L'!$M$30</f>
        <v>-3544.4564453370594</v>
      </c>
      <c r="N7" s="46">
        <f>'P&amp;L'!$N$30</f>
        <v>-3546.7380868304426</v>
      </c>
      <c r="O7" s="46">
        <f>'P&amp;L'!$O$30</f>
        <v>-3549.4723724326259</v>
      </c>
      <c r="P7" s="46">
        <f>'P&amp;L'!$P$30</f>
        <v>-3254.0593616743818</v>
      </c>
      <c r="Q7" s="46">
        <f>'P&amp;L'!$Q$30</f>
        <v>-2951.6237179957052</v>
      </c>
      <c r="R7" s="46">
        <f>'P&amp;L'!$R$30</f>
        <v>-2641.0679247633093</v>
      </c>
      <c r="S7" s="46">
        <f>'P&amp;L'!$S$30</f>
        <v>-2323.3703473141923</v>
      </c>
      <c r="T7" s="46">
        <f>'P&amp;L'!$T$30</f>
        <v>-1997.0511926994182</v>
      </c>
      <c r="U7" s="46">
        <f>'P&amp;L'!$U$30</f>
        <v>-1663.1065626771447</v>
      </c>
      <c r="V7" s="46">
        <f>'P&amp;L'!$V$30</f>
        <v>-1320.376282009139</v>
      </c>
      <c r="W7" s="46">
        <f>'P&amp;L'!$W$30</f>
        <v>-969.70247303322685</v>
      </c>
      <c r="X7" s="46">
        <f>'P&amp;L'!$X$30</f>
        <v>-609.89230490145565</v>
      </c>
      <c r="Y7" s="46">
        <f>'P&amp;L'!$Y$30</f>
        <v>-241.80897475663625</v>
      </c>
      <c r="Z7" s="46">
        <f>'P&amp;L'!$Z$30</f>
        <v>101.68490141543651</v>
      </c>
      <c r="AA7" s="46">
        <f>'P&amp;L'!$AA$30</f>
        <v>391.33120956203697</v>
      </c>
      <c r="AB7" s="46">
        <f>'P&amp;L'!$AB$30</f>
        <v>701.15294979727355</v>
      </c>
      <c r="AC7" s="46">
        <f>'P&amp;L'!$AC$30</f>
        <v>1018.877671183199</v>
      </c>
      <c r="AD7" s="46">
        <f>'P&amp;L'!$AD$30</f>
        <v>1343.8237469257292</v>
      </c>
      <c r="AE7" s="46">
        <f>'P&amp;L'!$AE$30</f>
        <v>1676.5550286576263</v>
      </c>
      <c r="AF7" s="46">
        <f>'P&amp;L'!$AF$30</f>
        <v>2017.6604900718003</v>
      </c>
      <c r="AG7" s="46">
        <f>'P&amp;L'!$AG$30</f>
        <v>2366.4328854274613</v>
      </c>
      <c r="AH7" s="46">
        <f>'P&amp;L'!$AH$30</f>
        <v>2723.2991528916673</v>
      </c>
      <c r="AI7" s="46">
        <f>'P&amp;L'!$AI$30</f>
        <v>3065.4456638122738</v>
      </c>
      <c r="AJ7" s="46">
        <f>'P&amp;L'!$AJ$30</f>
        <v>3415.7289175376509</v>
      </c>
      <c r="AK7" s="46">
        <f>'P&amp;L'!$AK$30</f>
        <v>3774.7636454665835</v>
      </c>
      <c r="AL7" s="46">
        <f>'P&amp;L'!$AL$30</f>
        <v>4143.1918355650014</v>
      </c>
      <c r="AM7" s="46">
        <f>'P&amp;L'!$AM$30</f>
        <v>4520.2520974581403</v>
      </c>
      <c r="AN7" s="46">
        <f>'P&amp;L'!$AN$30</f>
        <v>4922.8720924216195</v>
      </c>
      <c r="AO7" s="46">
        <f>'P&amp;L'!$AO$30</f>
        <v>5335.2030483496665</v>
      </c>
      <c r="AP7" s="46">
        <f>'P&amp;L'!$AP$30</f>
        <v>5758.2862778600784</v>
      </c>
      <c r="AQ7" s="46">
        <f>'P&amp;L'!$AQ$30</f>
        <v>6190.9733799997266</v>
      </c>
      <c r="AR7" s="46">
        <f>'P&amp;L'!$AR$30</f>
        <v>6634.3153886962864</v>
      </c>
      <c r="AS7" s="46">
        <f>'P&amp;L'!$AS$30</f>
        <v>7088.1476024264066</v>
      </c>
      <c r="AT7" s="46">
        <f>'P&amp;L'!$AT$30</f>
        <v>7553.0478126500948</v>
      </c>
      <c r="AU7" s="46">
        <f>'P&amp;L'!$AU$30</f>
        <v>8029.0408022393167</v>
      </c>
      <c r="AV7" s="46">
        <f>'P&amp;L'!$AV$30</f>
        <v>8516.6825325522877</v>
      </c>
      <c r="AW7" s="46">
        <f>'P&amp;L'!$AW$30</f>
        <v>9015.5088393251281</v>
      </c>
      <c r="AX7" s="46">
        <f>'P&amp;L'!$AX$30</f>
        <v>9525.8786566593171</v>
      </c>
      <c r="AY7" s="46">
        <f>'P&amp;L'!$AY$30</f>
        <v>10048.41380387041</v>
      </c>
    </row>
    <row r="8" spans="1:51" x14ac:dyDescent="0.35">
      <c r="A8" s="27" t="s">
        <v>110</v>
      </c>
      <c r="B8" s="28" t="s">
        <v>81</v>
      </c>
      <c r="C8" s="46">
        <f>SUM($D$8:$AY$8)</f>
        <v>16000.000000000011</v>
      </c>
      <c r="D8" s="46">
        <f>'P&amp;L'!$D$24</f>
        <v>333.33333333333331</v>
      </c>
      <c r="E8" s="46">
        <f>'P&amp;L'!$E$24</f>
        <v>333.33333333333331</v>
      </c>
      <c r="F8" s="46">
        <f>'P&amp;L'!$F$24</f>
        <v>333.33333333333331</v>
      </c>
      <c r="G8" s="46">
        <f>'P&amp;L'!$G$24</f>
        <v>333.33333333333331</v>
      </c>
      <c r="H8" s="46">
        <f>'P&amp;L'!$H$24</f>
        <v>333.33333333333331</v>
      </c>
      <c r="I8" s="46">
        <f>'P&amp;L'!$I$24</f>
        <v>333.33333333333331</v>
      </c>
      <c r="J8" s="46">
        <f>'P&amp;L'!$J$24</f>
        <v>333.33333333333331</v>
      </c>
      <c r="K8" s="46">
        <f>'P&amp;L'!$K$24</f>
        <v>333.33333333333331</v>
      </c>
      <c r="L8" s="46">
        <f>'P&amp;L'!$L$24</f>
        <v>333.33333333333331</v>
      </c>
      <c r="M8" s="46">
        <f>'P&amp;L'!$M$24</f>
        <v>333.33333333333331</v>
      </c>
      <c r="N8" s="46">
        <f>'P&amp;L'!$N$24</f>
        <v>333.33333333333331</v>
      </c>
      <c r="O8" s="46">
        <f>'P&amp;L'!$O$24</f>
        <v>333.33333333333331</v>
      </c>
      <c r="P8" s="46">
        <f>'P&amp;L'!$P$24</f>
        <v>333.33333333333331</v>
      </c>
      <c r="Q8" s="46">
        <f>'P&amp;L'!$Q$24</f>
        <v>333.33333333333331</v>
      </c>
      <c r="R8" s="46">
        <f>'P&amp;L'!$R$24</f>
        <v>333.33333333333331</v>
      </c>
      <c r="S8" s="46">
        <f>'P&amp;L'!$S$24</f>
        <v>333.33333333333331</v>
      </c>
      <c r="T8" s="46">
        <f>'P&amp;L'!$T$24</f>
        <v>333.33333333333331</v>
      </c>
      <c r="U8" s="46">
        <f>'P&amp;L'!$U$24</f>
        <v>333.33333333333331</v>
      </c>
      <c r="V8" s="46">
        <f>'P&amp;L'!$V$24</f>
        <v>333.33333333333331</v>
      </c>
      <c r="W8" s="46">
        <f>'P&amp;L'!$W$24</f>
        <v>333.33333333333331</v>
      </c>
      <c r="X8" s="46">
        <f>'P&amp;L'!$X$24</f>
        <v>333.33333333333331</v>
      </c>
      <c r="Y8" s="46">
        <f>'P&amp;L'!$Y$24</f>
        <v>333.33333333333331</v>
      </c>
      <c r="Z8" s="46">
        <f>'P&amp;L'!$Z$24</f>
        <v>333.33333333333331</v>
      </c>
      <c r="AA8" s="46">
        <f>'P&amp;L'!$AA$24</f>
        <v>333.33333333333331</v>
      </c>
      <c r="AB8" s="46">
        <f>'P&amp;L'!$AB$24</f>
        <v>333.33333333333331</v>
      </c>
      <c r="AC8" s="46">
        <f>'P&amp;L'!$AC$24</f>
        <v>333.33333333333331</v>
      </c>
      <c r="AD8" s="46">
        <f>'P&amp;L'!$AD$24</f>
        <v>333.33333333333331</v>
      </c>
      <c r="AE8" s="46">
        <f>'P&amp;L'!$AE$24</f>
        <v>333.33333333333331</v>
      </c>
      <c r="AF8" s="46">
        <f>'P&amp;L'!$AF$24</f>
        <v>333.33333333333331</v>
      </c>
      <c r="AG8" s="46">
        <f>'P&amp;L'!$AG$24</f>
        <v>333.33333333333331</v>
      </c>
      <c r="AH8" s="46">
        <f>'P&amp;L'!$AH$24</f>
        <v>333.33333333333331</v>
      </c>
      <c r="AI8" s="46">
        <f>'P&amp;L'!$AI$24</f>
        <v>333.33333333333331</v>
      </c>
      <c r="AJ8" s="46">
        <f>'P&amp;L'!$AJ$24</f>
        <v>333.33333333333331</v>
      </c>
      <c r="AK8" s="46">
        <f>'P&amp;L'!$AK$24</f>
        <v>333.33333333333331</v>
      </c>
      <c r="AL8" s="46">
        <f>'P&amp;L'!$AL$24</f>
        <v>333.33333333333331</v>
      </c>
      <c r="AM8" s="46">
        <f>'P&amp;L'!$AM$24</f>
        <v>333.33333333333331</v>
      </c>
      <c r="AN8" s="46">
        <f>'P&amp;L'!$AN$24</f>
        <v>333.33333333333331</v>
      </c>
      <c r="AO8" s="46">
        <f>'P&amp;L'!$AO$24</f>
        <v>333.33333333333331</v>
      </c>
      <c r="AP8" s="46">
        <f>'P&amp;L'!$AP$24</f>
        <v>333.33333333333331</v>
      </c>
      <c r="AQ8" s="46">
        <f>'P&amp;L'!$AQ$24</f>
        <v>333.33333333333331</v>
      </c>
      <c r="AR8" s="46">
        <f>'P&amp;L'!$AR$24</f>
        <v>333.33333333333331</v>
      </c>
      <c r="AS8" s="46">
        <f>'P&amp;L'!$AS$24</f>
        <v>333.33333333333331</v>
      </c>
      <c r="AT8" s="46">
        <f>'P&amp;L'!$AT$24</f>
        <v>333.33333333333331</v>
      </c>
      <c r="AU8" s="46">
        <f>'P&amp;L'!$AU$24</f>
        <v>333.33333333333331</v>
      </c>
      <c r="AV8" s="46">
        <f>'P&amp;L'!$AV$24</f>
        <v>333.33333333333331</v>
      </c>
      <c r="AW8" s="46">
        <f>'P&amp;L'!$AW$24</f>
        <v>333.33333333333331</v>
      </c>
      <c r="AX8" s="46">
        <f>'P&amp;L'!$AX$24</f>
        <v>333.33333333333331</v>
      </c>
      <c r="AY8" s="46">
        <f>'P&amp;L'!$AY$24</f>
        <v>333.33333333333331</v>
      </c>
    </row>
    <row r="9" spans="1:51" x14ac:dyDescent="0.35">
      <c r="A9" s="27" t="s">
        <v>124</v>
      </c>
      <c r="B9" s="28" t="s">
        <v>81</v>
      </c>
      <c r="C9" s="29">
        <f>SUM($D$9:$AY$9)</f>
        <v>-28916.067423245262</v>
      </c>
      <c r="D9" s="29">
        <f t="shared" ref="D9:AY9" si="0">-D37</f>
        <v>-410</v>
      </c>
      <c r="E9" s="29">
        <f t="shared" si="0"/>
        <v>-5.4666666666668107</v>
      </c>
      <c r="F9" s="29">
        <f t="shared" si="0"/>
        <v>-5.5395555555554665</v>
      </c>
      <c r="G9" s="29">
        <f t="shared" si="0"/>
        <v>-5.6134162962964638</v>
      </c>
      <c r="H9" s="29">
        <f t="shared" si="0"/>
        <v>-5.6882618469135195</v>
      </c>
      <c r="I9" s="29">
        <f t="shared" si="0"/>
        <v>-5.7641053382058089</v>
      </c>
      <c r="J9" s="29">
        <f t="shared" si="0"/>
        <v>-5.8409600760485318</v>
      </c>
      <c r="K9" s="29">
        <f t="shared" si="0"/>
        <v>-5.9188395437290637</v>
      </c>
      <c r="L9" s="29">
        <f t="shared" si="0"/>
        <v>-5.9977574043124378</v>
      </c>
      <c r="M9" s="29">
        <f t="shared" si="0"/>
        <v>-6.0777275030363853</v>
      </c>
      <c r="N9" s="29">
        <f t="shared" si="0"/>
        <v>-6.1587638697435523</v>
      </c>
      <c r="O9" s="29">
        <f t="shared" si="0"/>
        <v>-6.2408807213402042</v>
      </c>
      <c r="P9" s="29">
        <f t="shared" si="0"/>
        <v>-474.82657161748489</v>
      </c>
      <c r="Q9" s="29">
        <f t="shared" si="0"/>
        <v>-486.65840920907749</v>
      </c>
      <c r="R9" s="29">
        <f t="shared" si="0"/>
        <v>-500.22306013555135</v>
      </c>
      <c r="S9" s="29">
        <f t="shared" si="0"/>
        <v>-512.26368180210579</v>
      </c>
      <c r="T9" s="29">
        <f t="shared" si="0"/>
        <v>-526.63718635817941</v>
      </c>
      <c r="U9" s="29">
        <f t="shared" si="0"/>
        <v>-539.45912890109594</v>
      </c>
      <c r="V9" s="29">
        <f t="shared" si="0"/>
        <v>-554.11278418110032</v>
      </c>
      <c r="W9" s="29">
        <f t="shared" si="0"/>
        <v>-567.45676885003013</v>
      </c>
      <c r="X9" s="29">
        <f t="shared" si="0"/>
        <v>-582.6840088228837</v>
      </c>
      <c r="Y9" s="29">
        <f t="shared" si="0"/>
        <v>-596.56882367746766</v>
      </c>
      <c r="Z9" s="29">
        <f t="shared" si="0"/>
        <v>-612.08542201147156</v>
      </c>
      <c r="AA9" s="29">
        <f t="shared" si="0"/>
        <v>-626.83088981413948</v>
      </c>
      <c r="AB9" s="29">
        <f t="shared" si="0"/>
        <v>-669.97813998134916</v>
      </c>
      <c r="AC9" s="29">
        <f t="shared" si="0"/>
        <v>-687.46453602157271</v>
      </c>
      <c r="AD9" s="29">
        <f t="shared" si="0"/>
        <v>-703.53771645211782</v>
      </c>
      <c r="AE9" s="29">
        <f t="shared" si="0"/>
        <v>-720.80333442929077</v>
      </c>
      <c r="AF9" s="29">
        <f t="shared" si="0"/>
        <v>-739.31411595928876</v>
      </c>
      <c r="AG9" s="29">
        <f t="shared" si="0"/>
        <v>-756.35860368531939</v>
      </c>
      <c r="AH9" s="29">
        <f t="shared" si="0"/>
        <v>-774.30963461980718</v>
      </c>
      <c r="AI9" s="29">
        <f t="shared" si="0"/>
        <v>-794.2330983306565</v>
      </c>
      <c r="AJ9" s="29">
        <f t="shared" si="0"/>
        <v>-812.30116788657324</v>
      </c>
      <c r="AK9" s="29">
        <f t="shared" si="0"/>
        <v>-831.66917896804807</v>
      </c>
      <c r="AL9" s="29">
        <f t="shared" si="0"/>
        <v>-852.3943370830948</v>
      </c>
      <c r="AM9" s="29">
        <f t="shared" si="0"/>
        <v>-871.5410277691044</v>
      </c>
      <c r="AN9" s="29">
        <f t="shared" si="0"/>
        <v>-926.1141248053591</v>
      </c>
      <c r="AO9" s="29">
        <f t="shared" si="0"/>
        <v>-947.54703008367505</v>
      </c>
      <c r="AP9" s="29">
        <f t="shared" si="0"/>
        <v>-971.17322043427339</v>
      </c>
      <c r="AQ9" s="29">
        <f t="shared" si="0"/>
        <v>-992.41211450262199</v>
      </c>
      <c r="AR9" s="29">
        <f t="shared" si="0"/>
        <v>-1015.8650303454051</v>
      </c>
      <c r="AS9" s="29">
        <f t="shared" si="0"/>
        <v>-1038.9889093899001</v>
      </c>
      <c r="AT9" s="29">
        <f t="shared" si="0"/>
        <v>-1063.3372196359196</v>
      </c>
      <c r="AU9" s="29">
        <f t="shared" si="0"/>
        <v>-1087.753302116711</v>
      </c>
      <c r="AV9" s="29">
        <f t="shared" si="0"/>
        <v>-1113.3485701715908</v>
      </c>
      <c r="AW9" s="29">
        <f t="shared" si="0"/>
        <v>-1137.9891831011191</v>
      </c>
      <c r="AX9" s="29">
        <f t="shared" si="0"/>
        <v>-1163.3972429110181</v>
      </c>
      <c r="AY9" s="29">
        <f t="shared" si="0"/>
        <v>-1190.1229143590099</v>
      </c>
    </row>
    <row r="10" spans="1:51" x14ac:dyDescent="0.35">
      <c r="A10" s="37" t="s">
        <v>125</v>
      </c>
      <c r="B10" s="38" t="s">
        <v>81</v>
      </c>
      <c r="C10" s="39">
        <f>SUM($D$10:$AY$10)</f>
        <v>47145.543562872903</v>
      </c>
      <c r="D10" s="39">
        <f t="shared" ref="D10:AY10" si="1">SUM(D7:D9)</f>
        <v>-3430</v>
      </c>
      <c r="E10" s="39">
        <f t="shared" si="1"/>
        <v>-3055.6000000000004</v>
      </c>
      <c r="F10" s="39">
        <f t="shared" si="1"/>
        <v>-3086.2080000000001</v>
      </c>
      <c r="G10" s="39">
        <f t="shared" si="1"/>
        <v>-3117.2241066666675</v>
      </c>
      <c r="H10" s="39">
        <f t="shared" si="1"/>
        <v>-3148.6537614222229</v>
      </c>
      <c r="I10" s="39">
        <f t="shared" si="1"/>
        <v>-3180.5024782411865</v>
      </c>
      <c r="J10" s="39">
        <f t="shared" si="1"/>
        <v>-3212.7758446177359</v>
      </c>
      <c r="K10" s="39">
        <f t="shared" si="1"/>
        <v>-3213.8128558793055</v>
      </c>
      <c r="L10" s="39">
        <f t="shared" si="1"/>
        <v>-3215.2859161799183</v>
      </c>
      <c r="M10" s="39">
        <f t="shared" si="1"/>
        <v>-3217.2008395067623</v>
      </c>
      <c r="N10" s="39">
        <f t="shared" si="1"/>
        <v>-3219.5635173668525</v>
      </c>
      <c r="O10" s="39">
        <f t="shared" si="1"/>
        <v>-3222.3799198206325</v>
      </c>
      <c r="P10" s="39">
        <f t="shared" si="1"/>
        <v>-3395.5525999585334</v>
      </c>
      <c r="Q10" s="39">
        <f t="shared" si="1"/>
        <v>-3104.9487938714492</v>
      </c>
      <c r="R10" s="39">
        <f t="shared" si="1"/>
        <v>-2807.9576515655272</v>
      </c>
      <c r="S10" s="39">
        <f t="shared" si="1"/>
        <v>-2502.3006957829648</v>
      </c>
      <c r="T10" s="39">
        <f t="shared" si="1"/>
        <v>-2190.3550457242645</v>
      </c>
      <c r="U10" s="39">
        <f t="shared" si="1"/>
        <v>-1869.2323582449073</v>
      </c>
      <c r="V10" s="39">
        <f t="shared" si="1"/>
        <v>-1541.1557328569061</v>
      </c>
      <c r="W10" s="39">
        <f t="shared" si="1"/>
        <v>-1203.8259085499237</v>
      </c>
      <c r="X10" s="39">
        <f t="shared" si="1"/>
        <v>-859.24298039100609</v>
      </c>
      <c r="Y10" s="39">
        <f t="shared" si="1"/>
        <v>-505.04446510077059</v>
      </c>
      <c r="Z10" s="39">
        <f t="shared" si="1"/>
        <v>-177.06718726270174</v>
      </c>
      <c r="AA10" s="39">
        <f t="shared" si="1"/>
        <v>97.83365308123075</v>
      </c>
      <c r="AB10" s="39">
        <f t="shared" si="1"/>
        <v>364.50814314925765</v>
      </c>
      <c r="AC10" s="39">
        <f t="shared" si="1"/>
        <v>664.74646849495957</v>
      </c>
      <c r="AD10" s="39">
        <f t="shared" si="1"/>
        <v>973.61936380694465</v>
      </c>
      <c r="AE10" s="39">
        <f t="shared" si="1"/>
        <v>1289.0850275616688</v>
      </c>
      <c r="AF10" s="39">
        <f t="shared" si="1"/>
        <v>1611.679707445845</v>
      </c>
      <c r="AG10" s="39">
        <f t="shared" si="1"/>
        <v>1943.4076150754754</v>
      </c>
      <c r="AH10" s="39">
        <f t="shared" si="1"/>
        <v>2282.3228516051936</v>
      </c>
      <c r="AI10" s="39">
        <f t="shared" si="1"/>
        <v>2604.5458988149508</v>
      </c>
      <c r="AJ10" s="39">
        <f t="shared" si="1"/>
        <v>2936.7610829844111</v>
      </c>
      <c r="AK10" s="39">
        <f t="shared" si="1"/>
        <v>3276.4277998318685</v>
      </c>
      <c r="AL10" s="39">
        <f t="shared" si="1"/>
        <v>3624.1308318152396</v>
      </c>
      <c r="AM10" s="39">
        <f t="shared" si="1"/>
        <v>3982.0444030223689</v>
      </c>
      <c r="AN10" s="39">
        <f t="shared" si="1"/>
        <v>4330.0913009495935</v>
      </c>
      <c r="AO10" s="39">
        <f t="shared" si="1"/>
        <v>4720.9893515993244</v>
      </c>
      <c r="AP10" s="39">
        <f t="shared" si="1"/>
        <v>5120.446390759138</v>
      </c>
      <c r="AQ10" s="39">
        <f t="shared" si="1"/>
        <v>5531.8945988304376</v>
      </c>
      <c r="AR10" s="39">
        <f t="shared" si="1"/>
        <v>5951.7836916842143</v>
      </c>
      <c r="AS10" s="39">
        <f t="shared" si="1"/>
        <v>6382.4920263698396</v>
      </c>
      <c r="AT10" s="39">
        <f t="shared" si="1"/>
        <v>6823.0439263475082</v>
      </c>
      <c r="AU10" s="39">
        <f t="shared" si="1"/>
        <v>7274.6208334559396</v>
      </c>
      <c r="AV10" s="39">
        <f t="shared" si="1"/>
        <v>7736.6672957140308</v>
      </c>
      <c r="AW10" s="39">
        <f t="shared" si="1"/>
        <v>8210.8529895573429</v>
      </c>
      <c r="AX10" s="39">
        <f t="shared" si="1"/>
        <v>8695.814747081633</v>
      </c>
      <c r="AY10" s="39">
        <f t="shared" si="1"/>
        <v>9191.6242228447336</v>
      </c>
    </row>
    <row r="12" spans="1:51" ht="16" customHeight="1" x14ac:dyDescent="0.35">
      <c r="A12" s="51" t="s">
        <v>126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</row>
    <row r="13" spans="1:51" x14ac:dyDescent="0.35">
      <c r="A13" s="27" t="s">
        <v>127</v>
      </c>
      <c r="B13" s="28" t="s">
        <v>81</v>
      </c>
      <c r="C13" s="46">
        <f>SUM($D$13:$AY$13)</f>
        <v>-32000</v>
      </c>
      <c r="D13" s="46">
        <f>-ДОПУЩЕНИЯ!$D$33</f>
        <v>-4923</v>
      </c>
      <c r="E13" s="46">
        <f>-ДОПУЩЕНИЯ!$E$33</f>
        <v>-4513</v>
      </c>
      <c r="F13" s="46">
        <f>-ДОПУЩЕНИЯ!$F$33</f>
        <v>-4103</v>
      </c>
      <c r="G13" s="46">
        <f>-ДОПУЩЕНИЯ!$G$33</f>
        <v>-3692</v>
      </c>
      <c r="H13" s="46">
        <f>-ДОПУЩЕНИЯ!$H$33</f>
        <v>-3282</v>
      </c>
      <c r="I13" s="46">
        <f>-ДОПУЩЕНИЯ!$I$33</f>
        <v>-2872</v>
      </c>
      <c r="J13" s="46">
        <f>-ДОПУЩЕНИЯ!$J$33</f>
        <v>-2462</v>
      </c>
      <c r="K13" s="46">
        <f>-ДОПУЩЕНИЯ!$K$33</f>
        <v>-2051</v>
      </c>
      <c r="L13" s="46">
        <f>-ДОПУЩЕНИЯ!$L$33</f>
        <v>-1641</v>
      </c>
      <c r="M13" s="46">
        <f>-ДОПУЩЕНИЯ!$M$33</f>
        <v>-1231</v>
      </c>
      <c r="N13" s="46">
        <f>-ДОПУЩЕНИЯ!$N$33</f>
        <v>-821</v>
      </c>
      <c r="O13" s="46">
        <f>-ДОПУЩЕНИЯ!$O$33</f>
        <v>-409</v>
      </c>
      <c r="P13" s="46">
        <f>-ДОПУЩЕНИЯ!$P$33</f>
        <v>0</v>
      </c>
      <c r="Q13" s="46">
        <f>-ДОПУЩЕНИЯ!$Q$33</f>
        <v>0</v>
      </c>
      <c r="R13" s="46">
        <f>-ДОПУЩЕНИЯ!$R$33</f>
        <v>0</v>
      </c>
      <c r="S13" s="46">
        <f>-ДОПУЩЕНИЯ!$S$33</f>
        <v>0</v>
      </c>
      <c r="T13" s="46">
        <f>-ДОПУЩЕНИЯ!$T$33</f>
        <v>0</v>
      </c>
      <c r="U13" s="46">
        <f>-ДОПУЩЕНИЯ!$U$33</f>
        <v>0</v>
      </c>
      <c r="V13" s="46">
        <f>-ДОПУЩЕНИЯ!$V$33</f>
        <v>0</v>
      </c>
      <c r="W13" s="46">
        <f>-ДОПУЩЕНИЯ!$W$33</f>
        <v>0</v>
      </c>
      <c r="X13" s="46">
        <f>-ДОПУЩЕНИЯ!$X$33</f>
        <v>0</v>
      </c>
      <c r="Y13" s="46">
        <f>-ДОПУЩЕНИЯ!$Y$33</f>
        <v>0</v>
      </c>
      <c r="Z13" s="46">
        <f>-ДОПУЩЕНИЯ!$Z$33</f>
        <v>0</v>
      </c>
      <c r="AA13" s="46">
        <f>-ДОПУЩЕНИЯ!$AA$33</f>
        <v>0</v>
      </c>
      <c r="AB13" s="46">
        <f>-ДОПУЩЕНИЯ!$AB$33</f>
        <v>0</v>
      </c>
      <c r="AC13" s="46">
        <f>-ДОПУЩЕНИЯ!$AC$33</f>
        <v>0</v>
      </c>
      <c r="AD13" s="46">
        <f>-ДОПУЩЕНИЯ!$AD$33</f>
        <v>0</v>
      </c>
      <c r="AE13" s="46">
        <f>-ДОПУЩЕНИЯ!$AE$33</f>
        <v>0</v>
      </c>
      <c r="AF13" s="46">
        <f>-ДОПУЩЕНИЯ!$AF$33</f>
        <v>0</v>
      </c>
      <c r="AG13" s="46">
        <f>-ДОПУЩЕНИЯ!$AG$33</f>
        <v>0</v>
      </c>
      <c r="AH13" s="46">
        <f>-ДОПУЩЕНИЯ!$AH$33</f>
        <v>0</v>
      </c>
      <c r="AI13" s="46">
        <f>-ДОПУЩЕНИЯ!$AI$33</f>
        <v>0</v>
      </c>
      <c r="AJ13" s="46">
        <f>-ДОПУЩЕНИЯ!$AJ$33</f>
        <v>0</v>
      </c>
      <c r="AK13" s="46">
        <f>-ДОПУЩЕНИЯ!$AK$33</f>
        <v>0</v>
      </c>
      <c r="AL13" s="46">
        <f>-ДОПУЩЕНИЯ!$AL$33</f>
        <v>0</v>
      </c>
      <c r="AM13" s="46">
        <f>-ДОПУЩЕНИЯ!$AM$33</f>
        <v>0</v>
      </c>
      <c r="AN13" s="46">
        <f>-ДОПУЩЕНИЯ!$AN$33</f>
        <v>0</v>
      </c>
      <c r="AO13" s="46">
        <f>-ДОПУЩЕНИЯ!$AO$33</f>
        <v>0</v>
      </c>
      <c r="AP13" s="46">
        <f>-ДОПУЩЕНИЯ!$AP$33</f>
        <v>0</v>
      </c>
      <c r="AQ13" s="46">
        <f>-ДОПУЩЕНИЯ!$AQ$33</f>
        <v>0</v>
      </c>
      <c r="AR13" s="46">
        <f>-ДОПУЩЕНИЯ!$AR$33</f>
        <v>0</v>
      </c>
      <c r="AS13" s="46">
        <f>-ДОПУЩЕНИЯ!$AS$33</f>
        <v>0</v>
      </c>
      <c r="AT13" s="46">
        <f>-ДОПУЩЕНИЯ!$AT$33</f>
        <v>0</v>
      </c>
      <c r="AU13" s="46">
        <f>-ДОПУЩЕНИЯ!$AU$33</f>
        <v>0</v>
      </c>
      <c r="AV13" s="46">
        <f>-ДОПУЩЕНИЯ!$AV$33</f>
        <v>0</v>
      </c>
      <c r="AW13" s="46">
        <f>-ДОПУЩЕНИЯ!$AW$33</f>
        <v>0</v>
      </c>
      <c r="AX13" s="46">
        <f>-ДОПУЩЕНИЯ!$AX$33</f>
        <v>0</v>
      </c>
      <c r="AY13" s="46">
        <f>-ДОПУЩЕНИЯ!$AY$33</f>
        <v>0</v>
      </c>
    </row>
    <row r="14" spans="1:51" x14ac:dyDescent="0.35">
      <c r="A14" s="37" t="s">
        <v>128</v>
      </c>
      <c r="B14" s="38" t="s">
        <v>81</v>
      </c>
      <c r="C14" s="39">
        <f>SUM($D$14:$AY$14)</f>
        <v>-32000</v>
      </c>
      <c r="D14" s="39">
        <f t="shared" ref="D14:AY14" si="2">D13</f>
        <v>-4923</v>
      </c>
      <c r="E14" s="39">
        <f t="shared" si="2"/>
        <v>-4513</v>
      </c>
      <c r="F14" s="39">
        <f t="shared" si="2"/>
        <v>-4103</v>
      </c>
      <c r="G14" s="39">
        <f t="shared" si="2"/>
        <v>-3692</v>
      </c>
      <c r="H14" s="39">
        <f t="shared" si="2"/>
        <v>-3282</v>
      </c>
      <c r="I14" s="39">
        <f t="shared" si="2"/>
        <v>-2872</v>
      </c>
      <c r="J14" s="39">
        <f t="shared" si="2"/>
        <v>-2462</v>
      </c>
      <c r="K14" s="39">
        <f t="shared" si="2"/>
        <v>-2051</v>
      </c>
      <c r="L14" s="39">
        <f t="shared" si="2"/>
        <v>-1641</v>
      </c>
      <c r="M14" s="39">
        <f t="shared" si="2"/>
        <v>-1231</v>
      </c>
      <c r="N14" s="39">
        <f t="shared" si="2"/>
        <v>-821</v>
      </c>
      <c r="O14" s="39">
        <f t="shared" si="2"/>
        <v>-409</v>
      </c>
      <c r="P14" s="39">
        <f t="shared" si="2"/>
        <v>0</v>
      </c>
      <c r="Q14" s="39">
        <f t="shared" si="2"/>
        <v>0</v>
      </c>
      <c r="R14" s="39">
        <f t="shared" si="2"/>
        <v>0</v>
      </c>
      <c r="S14" s="39">
        <f t="shared" si="2"/>
        <v>0</v>
      </c>
      <c r="T14" s="39">
        <f t="shared" si="2"/>
        <v>0</v>
      </c>
      <c r="U14" s="39">
        <f t="shared" si="2"/>
        <v>0</v>
      </c>
      <c r="V14" s="39">
        <f t="shared" si="2"/>
        <v>0</v>
      </c>
      <c r="W14" s="39">
        <f t="shared" si="2"/>
        <v>0</v>
      </c>
      <c r="X14" s="39">
        <f t="shared" si="2"/>
        <v>0</v>
      </c>
      <c r="Y14" s="39">
        <f t="shared" si="2"/>
        <v>0</v>
      </c>
      <c r="Z14" s="39">
        <f t="shared" si="2"/>
        <v>0</v>
      </c>
      <c r="AA14" s="39">
        <f t="shared" si="2"/>
        <v>0</v>
      </c>
      <c r="AB14" s="39">
        <f t="shared" si="2"/>
        <v>0</v>
      </c>
      <c r="AC14" s="39">
        <f t="shared" si="2"/>
        <v>0</v>
      </c>
      <c r="AD14" s="39">
        <f t="shared" si="2"/>
        <v>0</v>
      </c>
      <c r="AE14" s="39">
        <f t="shared" si="2"/>
        <v>0</v>
      </c>
      <c r="AF14" s="39">
        <f t="shared" si="2"/>
        <v>0</v>
      </c>
      <c r="AG14" s="39">
        <f t="shared" si="2"/>
        <v>0</v>
      </c>
      <c r="AH14" s="39">
        <f t="shared" si="2"/>
        <v>0</v>
      </c>
      <c r="AI14" s="39">
        <f t="shared" si="2"/>
        <v>0</v>
      </c>
      <c r="AJ14" s="39">
        <f t="shared" si="2"/>
        <v>0</v>
      </c>
      <c r="AK14" s="39">
        <f t="shared" si="2"/>
        <v>0</v>
      </c>
      <c r="AL14" s="39">
        <f t="shared" si="2"/>
        <v>0</v>
      </c>
      <c r="AM14" s="39">
        <f t="shared" si="2"/>
        <v>0</v>
      </c>
      <c r="AN14" s="39">
        <f t="shared" si="2"/>
        <v>0</v>
      </c>
      <c r="AO14" s="39">
        <f t="shared" si="2"/>
        <v>0</v>
      </c>
      <c r="AP14" s="39">
        <f t="shared" si="2"/>
        <v>0</v>
      </c>
      <c r="AQ14" s="39">
        <f t="shared" si="2"/>
        <v>0</v>
      </c>
      <c r="AR14" s="39">
        <f t="shared" si="2"/>
        <v>0</v>
      </c>
      <c r="AS14" s="39">
        <f t="shared" si="2"/>
        <v>0</v>
      </c>
      <c r="AT14" s="39">
        <f t="shared" si="2"/>
        <v>0</v>
      </c>
      <c r="AU14" s="39">
        <f t="shared" si="2"/>
        <v>0</v>
      </c>
      <c r="AV14" s="39">
        <f t="shared" si="2"/>
        <v>0</v>
      </c>
      <c r="AW14" s="39">
        <f t="shared" si="2"/>
        <v>0</v>
      </c>
      <c r="AX14" s="39">
        <f t="shared" si="2"/>
        <v>0</v>
      </c>
      <c r="AY14" s="39">
        <f t="shared" si="2"/>
        <v>0</v>
      </c>
    </row>
    <row r="16" spans="1:51" ht="16" customHeight="1" x14ac:dyDescent="0.35">
      <c r="A16" s="51" t="s">
        <v>129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</row>
    <row r="17" spans="1:51" x14ac:dyDescent="0.35">
      <c r="A17" s="27" t="s">
        <v>130</v>
      </c>
      <c r="B17" s="28" t="s">
        <v>81</v>
      </c>
      <c r="C17" s="29">
        <f>НАСТРОЙКИ!$B$18</f>
        <v>48000</v>
      </c>
      <c r="D17" s="29">
        <f>НАСТРОЙКИ!$B$18</f>
        <v>48000</v>
      </c>
      <c r="E17" s="29">
        <f>0</f>
        <v>0</v>
      </c>
      <c r="F17" s="29">
        <f>0</f>
        <v>0</v>
      </c>
      <c r="G17" s="29">
        <f>0</f>
        <v>0</v>
      </c>
      <c r="H17" s="29">
        <f>0</f>
        <v>0</v>
      </c>
      <c r="I17" s="29">
        <f>0</f>
        <v>0</v>
      </c>
      <c r="J17" s="29">
        <f>0</f>
        <v>0</v>
      </c>
      <c r="K17" s="29">
        <f>0</f>
        <v>0</v>
      </c>
      <c r="L17" s="29">
        <f>0</f>
        <v>0</v>
      </c>
      <c r="M17" s="29">
        <f>0</f>
        <v>0</v>
      </c>
      <c r="N17" s="29">
        <f>0</f>
        <v>0</v>
      </c>
      <c r="O17" s="29">
        <f>0</f>
        <v>0</v>
      </c>
      <c r="P17" s="29">
        <f>0</f>
        <v>0</v>
      </c>
      <c r="Q17" s="29">
        <f>0</f>
        <v>0</v>
      </c>
      <c r="R17" s="29">
        <f>0</f>
        <v>0</v>
      </c>
      <c r="S17" s="29">
        <f>0</f>
        <v>0</v>
      </c>
      <c r="T17" s="29">
        <f>0</f>
        <v>0</v>
      </c>
      <c r="U17" s="29">
        <f>0</f>
        <v>0</v>
      </c>
      <c r="V17" s="29">
        <f>0</f>
        <v>0</v>
      </c>
      <c r="W17" s="29">
        <f>0</f>
        <v>0</v>
      </c>
      <c r="X17" s="29">
        <f>0</f>
        <v>0</v>
      </c>
      <c r="Y17" s="29">
        <f>0</f>
        <v>0</v>
      </c>
      <c r="Z17" s="29">
        <f>0</f>
        <v>0</v>
      </c>
      <c r="AA17" s="29">
        <f>0</f>
        <v>0</v>
      </c>
      <c r="AB17" s="29">
        <f>0</f>
        <v>0</v>
      </c>
      <c r="AC17" s="29">
        <f>0</f>
        <v>0</v>
      </c>
      <c r="AD17" s="29">
        <f>0</f>
        <v>0</v>
      </c>
      <c r="AE17" s="29">
        <f>0</f>
        <v>0</v>
      </c>
      <c r="AF17" s="29">
        <f>0</f>
        <v>0</v>
      </c>
      <c r="AG17" s="29">
        <f>0</f>
        <v>0</v>
      </c>
      <c r="AH17" s="29">
        <f>0</f>
        <v>0</v>
      </c>
      <c r="AI17" s="29">
        <f>0</f>
        <v>0</v>
      </c>
      <c r="AJ17" s="29">
        <f>0</f>
        <v>0</v>
      </c>
      <c r="AK17" s="29">
        <f>0</f>
        <v>0</v>
      </c>
      <c r="AL17" s="29">
        <f>0</f>
        <v>0</v>
      </c>
      <c r="AM17" s="29">
        <f>0</f>
        <v>0</v>
      </c>
      <c r="AN17" s="29">
        <f>0</f>
        <v>0</v>
      </c>
      <c r="AO17" s="29">
        <f>0</f>
        <v>0</v>
      </c>
      <c r="AP17" s="29">
        <f>0</f>
        <v>0</v>
      </c>
      <c r="AQ17" s="29">
        <f>0</f>
        <v>0</v>
      </c>
      <c r="AR17" s="29">
        <f>0</f>
        <v>0</v>
      </c>
      <c r="AS17" s="29">
        <f>0</f>
        <v>0</v>
      </c>
      <c r="AT17" s="29">
        <f>0</f>
        <v>0</v>
      </c>
      <c r="AU17" s="29">
        <f>0</f>
        <v>0</v>
      </c>
      <c r="AV17" s="29">
        <f>0</f>
        <v>0</v>
      </c>
      <c r="AW17" s="29">
        <f>0</f>
        <v>0</v>
      </c>
      <c r="AX17" s="29">
        <f>0</f>
        <v>0</v>
      </c>
      <c r="AY17" s="29">
        <f>0</f>
        <v>0</v>
      </c>
    </row>
    <row r="18" spans="1:51" x14ac:dyDescent="0.35">
      <c r="A18" s="27" t="s">
        <v>131</v>
      </c>
      <c r="B18" s="28" t="s">
        <v>81</v>
      </c>
      <c r="C18" s="29">
        <f>НАСТРОЙКИ!$B$16-НАСТРОЙКИ!$B$18</f>
        <v>12000</v>
      </c>
      <c r="D18" s="29">
        <f>НАСТРОЙКИ!$B$16-НАСТРОЙКИ!$B$18</f>
        <v>12000</v>
      </c>
      <c r="E18" s="29">
        <f>0</f>
        <v>0</v>
      </c>
      <c r="F18" s="29">
        <f>0</f>
        <v>0</v>
      </c>
      <c r="G18" s="29">
        <f>0</f>
        <v>0</v>
      </c>
      <c r="H18" s="29">
        <f>0</f>
        <v>0</v>
      </c>
      <c r="I18" s="29">
        <f>0</f>
        <v>0</v>
      </c>
      <c r="J18" s="29">
        <f>0</f>
        <v>0</v>
      </c>
      <c r="K18" s="29">
        <f>0</f>
        <v>0</v>
      </c>
      <c r="L18" s="29">
        <f>0</f>
        <v>0</v>
      </c>
      <c r="M18" s="29">
        <f>0</f>
        <v>0</v>
      </c>
      <c r="N18" s="29">
        <f>0</f>
        <v>0</v>
      </c>
      <c r="O18" s="29">
        <f>0</f>
        <v>0</v>
      </c>
      <c r="P18" s="29">
        <f>0</f>
        <v>0</v>
      </c>
      <c r="Q18" s="29">
        <f>0</f>
        <v>0</v>
      </c>
      <c r="R18" s="29">
        <f>0</f>
        <v>0</v>
      </c>
      <c r="S18" s="29">
        <f>0</f>
        <v>0</v>
      </c>
      <c r="T18" s="29">
        <f>0</f>
        <v>0</v>
      </c>
      <c r="U18" s="29">
        <f>0</f>
        <v>0</v>
      </c>
      <c r="V18" s="29">
        <f>0</f>
        <v>0</v>
      </c>
      <c r="W18" s="29">
        <f>0</f>
        <v>0</v>
      </c>
      <c r="X18" s="29">
        <f>0</f>
        <v>0</v>
      </c>
      <c r="Y18" s="29">
        <f>0</f>
        <v>0</v>
      </c>
      <c r="Z18" s="29">
        <f>0</f>
        <v>0</v>
      </c>
      <c r="AA18" s="29">
        <f>0</f>
        <v>0</v>
      </c>
      <c r="AB18" s="29">
        <f>0</f>
        <v>0</v>
      </c>
      <c r="AC18" s="29">
        <f>0</f>
        <v>0</v>
      </c>
      <c r="AD18" s="29">
        <f>0</f>
        <v>0</v>
      </c>
      <c r="AE18" s="29">
        <f>0</f>
        <v>0</v>
      </c>
      <c r="AF18" s="29">
        <f>0</f>
        <v>0</v>
      </c>
      <c r="AG18" s="29">
        <f>0</f>
        <v>0</v>
      </c>
      <c r="AH18" s="29">
        <f>0</f>
        <v>0</v>
      </c>
      <c r="AI18" s="29">
        <f>0</f>
        <v>0</v>
      </c>
      <c r="AJ18" s="29">
        <f>0</f>
        <v>0</v>
      </c>
      <c r="AK18" s="29">
        <f>0</f>
        <v>0</v>
      </c>
      <c r="AL18" s="29">
        <f>0</f>
        <v>0</v>
      </c>
      <c r="AM18" s="29">
        <f>0</f>
        <v>0</v>
      </c>
      <c r="AN18" s="29">
        <f>0</f>
        <v>0</v>
      </c>
      <c r="AO18" s="29">
        <f>0</f>
        <v>0</v>
      </c>
      <c r="AP18" s="29">
        <f>0</f>
        <v>0</v>
      </c>
      <c r="AQ18" s="29">
        <f>0</f>
        <v>0</v>
      </c>
      <c r="AR18" s="29">
        <f>0</f>
        <v>0</v>
      </c>
      <c r="AS18" s="29">
        <f>0</f>
        <v>0</v>
      </c>
      <c r="AT18" s="29">
        <f>0</f>
        <v>0</v>
      </c>
      <c r="AU18" s="29">
        <f>0</f>
        <v>0</v>
      </c>
      <c r="AV18" s="29">
        <f>0</f>
        <v>0</v>
      </c>
      <c r="AW18" s="29">
        <f>0</f>
        <v>0</v>
      </c>
      <c r="AX18" s="29">
        <f>0</f>
        <v>0</v>
      </c>
      <c r="AY18" s="29">
        <f>0</f>
        <v>0</v>
      </c>
    </row>
    <row r="19" spans="1:51" x14ac:dyDescent="0.35">
      <c r="A19" s="27" t="s">
        <v>132</v>
      </c>
      <c r="B19" s="28" t="s">
        <v>81</v>
      </c>
      <c r="C19" s="29">
        <f>SUM($D$19:$AY$19)</f>
        <v>-48000</v>
      </c>
      <c r="D19" s="29">
        <f t="shared" ref="D19:AY19" si="3">-D29</f>
        <v>0</v>
      </c>
      <c r="E19" s="29">
        <f t="shared" si="3"/>
        <v>0</v>
      </c>
      <c r="F19" s="29">
        <f t="shared" si="3"/>
        <v>0</v>
      </c>
      <c r="G19" s="29">
        <f t="shared" si="3"/>
        <v>0</v>
      </c>
      <c r="H19" s="29">
        <f t="shared" si="3"/>
        <v>0</v>
      </c>
      <c r="I19" s="29">
        <f t="shared" si="3"/>
        <v>0</v>
      </c>
      <c r="J19" s="29">
        <f t="shared" si="3"/>
        <v>-2000</v>
      </c>
      <c r="K19" s="29">
        <f t="shared" si="3"/>
        <v>-2000</v>
      </c>
      <c r="L19" s="29">
        <f t="shared" si="3"/>
        <v>-2000</v>
      </c>
      <c r="M19" s="29">
        <f t="shared" si="3"/>
        <v>-2000</v>
      </c>
      <c r="N19" s="29">
        <f t="shared" si="3"/>
        <v>-2000</v>
      </c>
      <c r="O19" s="29">
        <f t="shared" si="3"/>
        <v>-2000</v>
      </c>
      <c r="P19" s="29">
        <f t="shared" si="3"/>
        <v>-2000</v>
      </c>
      <c r="Q19" s="29">
        <f t="shared" si="3"/>
        <v>-2000</v>
      </c>
      <c r="R19" s="29">
        <f t="shared" si="3"/>
        <v>-2000</v>
      </c>
      <c r="S19" s="29">
        <f t="shared" si="3"/>
        <v>-2000</v>
      </c>
      <c r="T19" s="29">
        <f t="shared" si="3"/>
        <v>-2000</v>
      </c>
      <c r="U19" s="29">
        <f t="shared" si="3"/>
        <v>-2000</v>
      </c>
      <c r="V19" s="29">
        <f t="shared" si="3"/>
        <v>-2000</v>
      </c>
      <c r="W19" s="29">
        <f t="shared" si="3"/>
        <v>-2000</v>
      </c>
      <c r="X19" s="29">
        <f t="shared" si="3"/>
        <v>-2000</v>
      </c>
      <c r="Y19" s="29">
        <f t="shared" si="3"/>
        <v>-2000</v>
      </c>
      <c r="Z19" s="29">
        <f t="shared" si="3"/>
        <v>-2000</v>
      </c>
      <c r="AA19" s="29">
        <f t="shared" si="3"/>
        <v>-2000</v>
      </c>
      <c r="AB19" s="29">
        <f t="shared" si="3"/>
        <v>-2000</v>
      </c>
      <c r="AC19" s="29">
        <f t="shared" si="3"/>
        <v>-2000</v>
      </c>
      <c r="AD19" s="29">
        <f t="shared" si="3"/>
        <v>-2000</v>
      </c>
      <c r="AE19" s="29">
        <f t="shared" si="3"/>
        <v>-2000</v>
      </c>
      <c r="AF19" s="29">
        <f t="shared" si="3"/>
        <v>-2000</v>
      </c>
      <c r="AG19" s="29">
        <f t="shared" si="3"/>
        <v>-2000</v>
      </c>
      <c r="AH19" s="29">
        <f t="shared" si="3"/>
        <v>0</v>
      </c>
      <c r="AI19" s="29">
        <f t="shared" si="3"/>
        <v>0</v>
      </c>
      <c r="AJ19" s="29">
        <f t="shared" si="3"/>
        <v>0</v>
      </c>
      <c r="AK19" s="29">
        <f t="shared" si="3"/>
        <v>0</v>
      </c>
      <c r="AL19" s="29">
        <f t="shared" si="3"/>
        <v>0</v>
      </c>
      <c r="AM19" s="29">
        <f t="shared" si="3"/>
        <v>0</v>
      </c>
      <c r="AN19" s="29">
        <f t="shared" si="3"/>
        <v>0</v>
      </c>
      <c r="AO19" s="29">
        <f t="shared" si="3"/>
        <v>0</v>
      </c>
      <c r="AP19" s="29">
        <f t="shared" si="3"/>
        <v>0</v>
      </c>
      <c r="AQ19" s="29">
        <f t="shared" si="3"/>
        <v>0</v>
      </c>
      <c r="AR19" s="29">
        <f t="shared" si="3"/>
        <v>0</v>
      </c>
      <c r="AS19" s="29">
        <f t="shared" si="3"/>
        <v>0</v>
      </c>
      <c r="AT19" s="29">
        <f t="shared" si="3"/>
        <v>0</v>
      </c>
      <c r="AU19" s="29">
        <f t="shared" si="3"/>
        <v>0</v>
      </c>
      <c r="AV19" s="29">
        <f t="shared" si="3"/>
        <v>0</v>
      </c>
      <c r="AW19" s="29">
        <f t="shared" si="3"/>
        <v>0</v>
      </c>
      <c r="AX19" s="29">
        <f t="shared" si="3"/>
        <v>0</v>
      </c>
      <c r="AY19" s="29">
        <f t="shared" si="3"/>
        <v>0</v>
      </c>
    </row>
    <row r="20" spans="1:51" x14ac:dyDescent="0.35">
      <c r="A20" s="37" t="s">
        <v>133</v>
      </c>
      <c r="B20" s="38" t="s">
        <v>81</v>
      </c>
      <c r="C20" s="39">
        <f>SUM($D$20:$AY$20)</f>
        <v>12000</v>
      </c>
      <c r="D20" s="39">
        <f t="shared" ref="D20:AY20" si="4">SUM(D17:D19)</f>
        <v>60000</v>
      </c>
      <c r="E20" s="39">
        <f t="shared" si="4"/>
        <v>0</v>
      </c>
      <c r="F20" s="39">
        <f t="shared" si="4"/>
        <v>0</v>
      </c>
      <c r="G20" s="39">
        <f t="shared" si="4"/>
        <v>0</v>
      </c>
      <c r="H20" s="39">
        <f t="shared" si="4"/>
        <v>0</v>
      </c>
      <c r="I20" s="39">
        <f t="shared" si="4"/>
        <v>0</v>
      </c>
      <c r="J20" s="39">
        <f t="shared" si="4"/>
        <v>-2000</v>
      </c>
      <c r="K20" s="39">
        <f t="shared" si="4"/>
        <v>-2000</v>
      </c>
      <c r="L20" s="39">
        <f t="shared" si="4"/>
        <v>-2000</v>
      </c>
      <c r="M20" s="39">
        <f t="shared" si="4"/>
        <v>-2000</v>
      </c>
      <c r="N20" s="39">
        <f t="shared" si="4"/>
        <v>-2000</v>
      </c>
      <c r="O20" s="39">
        <f t="shared" si="4"/>
        <v>-2000</v>
      </c>
      <c r="P20" s="39">
        <f t="shared" si="4"/>
        <v>-2000</v>
      </c>
      <c r="Q20" s="39">
        <f t="shared" si="4"/>
        <v>-2000</v>
      </c>
      <c r="R20" s="39">
        <f t="shared" si="4"/>
        <v>-2000</v>
      </c>
      <c r="S20" s="39">
        <f t="shared" si="4"/>
        <v>-2000</v>
      </c>
      <c r="T20" s="39">
        <f t="shared" si="4"/>
        <v>-2000</v>
      </c>
      <c r="U20" s="39">
        <f t="shared" si="4"/>
        <v>-2000</v>
      </c>
      <c r="V20" s="39">
        <f t="shared" si="4"/>
        <v>-2000</v>
      </c>
      <c r="W20" s="39">
        <f t="shared" si="4"/>
        <v>-2000</v>
      </c>
      <c r="X20" s="39">
        <f t="shared" si="4"/>
        <v>-2000</v>
      </c>
      <c r="Y20" s="39">
        <f t="shared" si="4"/>
        <v>-2000</v>
      </c>
      <c r="Z20" s="39">
        <f t="shared" si="4"/>
        <v>-2000</v>
      </c>
      <c r="AA20" s="39">
        <f t="shared" si="4"/>
        <v>-2000</v>
      </c>
      <c r="AB20" s="39">
        <f t="shared" si="4"/>
        <v>-2000</v>
      </c>
      <c r="AC20" s="39">
        <f t="shared" si="4"/>
        <v>-2000</v>
      </c>
      <c r="AD20" s="39">
        <f t="shared" si="4"/>
        <v>-2000</v>
      </c>
      <c r="AE20" s="39">
        <f t="shared" si="4"/>
        <v>-2000</v>
      </c>
      <c r="AF20" s="39">
        <f t="shared" si="4"/>
        <v>-2000</v>
      </c>
      <c r="AG20" s="39">
        <f t="shared" si="4"/>
        <v>-2000</v>
      </c>
      <c r="AH20" s="39">
        <f t="shared" si="4"/>
        <v>0</v>
      </c>
      <c r="AI20" s="39">
        <f t="shared" si="4"/>
        <v>0</v>
      </c>
      <c r="AJ20" s="39">
        <f t="shared" si="4"/>
        <v>0</v>
      </c>
      <c r="AK20" s="39">
        <f t="shared" si="4"/>
        <v>0</v>
      </c>
      <c r="AL20" s="39">
        <f t="shared" si="4"/>
        <v>0</v>
      </c>
      <c r="AM20" s="39">
        <f t="shared" si="4"/>
        <v>0</v>
      </c>
      <c r="AN20" s="39">
        <f t="shared" si="4"/>
        <v>0</v>
      </c>
      <c r="AO20" s="39">
        <f t="shared" si="4"/>
        <v>0</v>
      </c>
      <c r="AP20" s="39">
        <f t="shared" si="4"/>
        <v>0</v>
      </c>
      <c r="AQ20" s="39">
        <f t="shared" si="4"/>
        <v>0</v>
      </c>
      <c r="AR20" s="39">
        <f t="shared" si="4"/>
        <v>0</v>
      </c>
      <c r="AS20" s="39">
        <f t="shared" si="4"/>
        <v>0</v>
      </c>
      <c r="AT20" s="39">
        <f t="shared" si="4"/>
        <v>0</v>
      </c>
      <c r="AU20" s="39">
        <f t="shared" si="4"/>
        <v>0</v>
      </c>
      <c r="AV20" s="39">
        <f t="shared" si="4"/>
        <v>0</v>
      </c>
      <c r="AW20" s="39">
        <f t="shared" si="4"/>
        <v>0</v>
      </c>
      <c r="AX20" s="39">
        <f t="shared" si="4"/>
        <v>0</v>
      </c>
      <c r="AY20" s="39">
        <f t="shared" si="4"/>
        <v>0</v>
      </c>
    </row>
    <row r="22" spans="1:51" x14ac:dyDescent="0.35">
      <c r="A22" s="47" t="s">
        <v>134</v>
      </c>
      <c r="B22" s="53" t="s">
        <v>81</v>
      </c>
      <c r="C22" s="49">
        <f>SUM($D$22:$AY$22)</f>
        <v>27145.543562872899</v>
      </c>
      <c r="D22" s="49">
        <f t="shared" ref="D22:AY22" si="5">D10+D14+D20</f>
        <v>51647</v>
      </c>
      <c r="E22" s="49">
        <f t="shared" si="5"/>
        <v>-7568.6</v>
      </c>
      <c r="F22" s="49">
        <f t="shared" si="5"/>
        <v>-7189.2080000000005</v>
      </c>
      <c r="G22" s="49">
        <f t="shared" si="5"/>
        <v>-6809.2241066666675</v>
      </c>
      <c r="H22" s="49">
        <f t="shared" si="5"/>
        <v>-6430.6537614222234</v>
      </c>
      <c r="I22" s="49">
        <f t="shared" si="5"/>
        <v>-6052.5024782411865</v>
      </c>
      <c r="J22" s="49">
        <f t="shared" si="5"/>
        <v>-7674.7758446177359</v>
      </c>
      <c r="K22" s="49">
        <f t="shared" si="5"/>
        <v>-7264.8128558793051</v>
      </c>
      <c r="L22" s="49">
        <f t="shared" si="5"/>
        <v>-6856.2859161799188</v>
      </c>
      <c r="M22" s="49">
        <f t="shared" si="5"/>
        <v>-6448.2008395067623</v>
      </c>
      <c r="N22" s="49">
        <f t="shared" si="5"/>
        <v>-6040.5635173668525</v>
      </c>
      <c r="O22" s="49">
        <f t="shared" si="5"/>
        <v>-5631.3799198206325</v>
      </c>
      <c r="P22" s="49">
        <f t="shared" si="5"/>
        <v>-5395.5525999585334</v>
      </c>
      <c r="Q22" s="49">
        <f t="shared" si="5"/>
        <v>-5104.9487938714492</v>
      </c>
      <c r="R22" s="49">
        <f t="shared" si="5"/>
        <v>-4807.9576515655272</v>
      </c>
      <c r="S22" s="49">
        <f t="shared" si="5"/>
        <v>-4502.3006957829648</v>
      </c>
      <c r="T22" s="49">
        <f t="shared" si="5"/>
        <v>-4190.3550457242645</v>
      </c>
      <c r="U22" s="49">
        <f t="shared" si="5"/>
        <v>-3869.2323582449071</v>
      </c>
      <c r="V22" s="49">
        <f t="shared" si="5"/>
        <v>-3541.1557328569061</v>
      </c>
      <c r="W22" s="49">
        <f t="shared" si="5"/>
        <v>-3203.825908549924</v>
      </c>
      <c r="X22" s="49">
        <f t="shared" si="5"/>
        <v>-2859.2429803910063</v>
      </c>
      <c r="Y22" s="49">
        <f t="shared" si="5"/>
        <v>-2505.0444651007706</v>
      </c>
      <c r="Z22" s="49">
        <f t="shared" si="5"/>
        <v>-2177.0671872627017</v>
      </c>
      <c r="AA22" s="49">
        <f t="shared" si="5"/>
        <v>-1902.1663469187692</v>
      </c>
      <c r="AB22" s="49">
        <f t="shared" si="5"/>
        <v>-1635.4918568507424</v>
      </c>
      <c r="AC22" s="49">
        <f t="shared" si="5"/>
        <v>-1335.2535315050404</v>
      </c>
      <c r="AD22" s="49">
        <f t="shared" si="5"/>
        <v>-1026.3806361930554</v>
      </c>
      <c r="AE22" s="49">
        <f t="shared" si="5"/>
        <v>-710.91497243833123</v>
      </c>
      <c r="AF22" s="49">
        <f t="shared" si="5"/>
        <v>-388.320292554155</v>
      </c>
      <c r="AG22" s="49">
        <f t="shared" si="5"/>
        <v>-56.592384924524595</v>
      </c>
      <c r="AH22" s="49">
        <f t="shared" si="5"/>
        <v>2282.3228516051936</v>
      </c>
      <c r="AI22" s="49">
        <f t="shared" si="5"/>
        <v>2604.5458988149508</v>
      </c>
      <c r="AJ22" s="49">
        <f t="shared" si="5"/>
        <v>2936.7610829844111</v>
      </c>
      <c r="AK22" s="49">
        <f t="shared" si="5"/>
        <v>3276.4277998318685</v>
      </c>
      <c r="AL22" s="49">
        <f t="shared" si="5"/>
        <v>3624.1308318152396</v>
      </c>
      <c r="AM22" s="49">
        <f t="shared" si="5"/>
        <v>3982.0444030223689</v>
      </c>
      <c r="AN22" s="49">
        <f t="shared" si="5"/>
        <v>4330.0913009495935</v>
      </c>
      <c r="AO22" s="49">
        <f t="shared" si="5"/>
        <v>4720.9893515993244</v>
      </c>
      <c r="AP22" s="49">
        <f t="shared" si="5"/>
        <v>5120.446390759138</v>
      </c>
      <c r="AQ22" s="49">
        <f t="shared" si="5"/>
        <v>5531.8945988304376</v>
      </c>
      <c r="AR22" s="49">
        <f t="shared" si="5"/>
        <v>5951.7836916842143</v>
      </c>
      <c r="AS22" s="49">
        <f t="shared" si="5"/>
        <v>6382.4920263698396</v>
      </c>
      <c r="AT22" s="49">
        <f t="shared" si="5"/>
        <v>6823.0439263475082</v>
      </c>
      <c r="AU22" s="49">
        <f t="shared" si="5"/>
        <v>7274.6208334559396</v>
      </c>
      <c r="AV22" s="49">
        <f t="shared" si="5"/>
        <v>7736.6672957140308</v>
      </c>
      <c r="AW22" s="49">
        <f t="shared" si="5"/>
        <v>8210.8529895573429</v>
      </c>
      <c r="AX22" s="49">
        <f t="shared" si="5"/>
        <v>8695.814747081633</v>
      </c>
      <c r="AY22" s="49">
        <f t="shared" si="5"/>
        <v>9191.6242228447336</v>
      </c>
    </row>
    <row r="23" spans="1:51" x14ac:dyDescent="0.35">
      <c r="A23" s="47" t="s">
        <v>135</v>
      </c>
      <c r="B23" s="53" t="s">
        <v>81</v>
      </c>
      <c r="C23" s="49">
        <f>AY23</f>
        <v>27145.543562872899</v>
      </c>
      <c r="D23" s="49">
        <f>D22</f>
        <v>51647</v>
      </c>
      <c r="E23" s="49">
        <f t="shared" ref="E23:AY23" si="6">D23+E22</f>
        <v>44078.400000000001</v>
      </c>
      <c r="F23" s="49">
        <f t="shared" si="6"/>
        <v>36889.192000000003</v>
      </c>
      <c r="G23" s="49">
        <f t="shared" si="6"/>
        <v>30079.967893333334</v>
      </c>
      <c r="H23" s="49">
        <f t="shared" si="6"/>
        <v>23649.314131911109</v>
      </c>
      <c r="I23" s="49">
        <f t="shared" si="6"/>
        <v>17596.811653669924</v>
      </c>
      <c r="J23" s="49">
        <f t="shared" si="6"/>
        <v>9922.0358090521877</v>
      </c>
      <c r="K23" s="49">
        <f t="shared" si="6"/>
        <v>2657.2229531728826</v>
      </c>
      <c r="L23" s="49">
        <f t="shared" si="6"/>
        <v>-4199.0629630070362</v>
      </c>
      <c r="M23" s="49">
        <f t="shared" si="6"/>
        <v>-10647.263802513799</v>
      </c>
      <c r="N23" s="49">
        <f t="shared" si="6"/>
        <v>-16687.827319880649</v>
      </c>
      <c r="O23" s="49">
        <f t="shared" si="6"/>
        <v>-22319.207239701282</v>
      </c>
      <c r="P23" s="49">
        <f t="shared" si="6"/>
        <v>-27714.759839659815</v>
      </c>
      <c r="Q23" s="49">
        <f t="shared" si="6"/>
        <v>-32819.708633531263</v>
      </c>
      <c r="R23" s="49">
        <f t="shared" si="6"/>
        <v>-37627.666285096791</v>
      </c>
      <c r="S23" s="49">
        <f t="shared" si="6"/>
        <v>-42129.966980879755</v>
      </c>
      <c r="T23" s="49">
        <f t="shared" si="6"/>
        <v>-46320.322026604023</v>
      </c>
      <c r="U23" s="49">
        <f t="shared" si="6"/>
        <v>-50189.554384848932</v>
      </c>
      <c r="V23" s="49">
        <f t="shared" si="6"/>
        <v>-53730.710117705836</v>
      </c>
      <c r="W23" s="49">
        <f t="shared" si="6"/>
        <v>-56934.536026255759</v>
      </c>
      <c r="X23" s="49">
        <f t="shared" si="6"/>
        <v>-59793.779006646764</v>
      </c>
      <c r="Y23" s="49">
        <f t="shared" si="6"/>
        <v>-62298.823471747535</v>
      </c>
      <c r="Z23" s="49">
        <f t="shared" si="6"/>
        <v>-64475.890659010234</v>
      </c>
      <c r="AA23" s="49">
        <f t="shared" si="6"/>
        <v>-66378.057005929004</v>
      </c>
      <c r="AB23" s="49">
        <f t="shared" si="6"/>
        <v>-68013.548862779746</v>
      </c>
      <c r="AC23" s="49">
        <f t="shared" si="6"/>
        <v>-69348.802394284779</v>
      </c>
      <c r="AD23" s="49">
        <f t="shared" si="6"/>
        <v>-70375.183030477841</v>
      </c>
      <c r="AE23" s="49">
        <f t="shared" si="6"/>
        <v>-71086.098002916173</v>
      </c>
      <c r="AF23" s="49">
        <f t="shared" si="6"/>
        <v>-71474.418295470328</v>
      </c>
      <c r="AG23" s="49">
        <f t="shared" si="6"/>
        <v>-71531.010680394858</v>
      </c>
      <c r="AH23" s="49">
        <f t="shared" si="6"/>
        <v>-69248.687828789669</v>
      </c>
      <c r="AI23" s="49">
        <f t="shared" si="6"/>
        <v>-66644.141929974721</v>
      </c>
      <c r="AJ23" s="49">
        <f t="shared" si="6"/>
        <v>-63707.380846990309</v>
      </c>
      <c r="AK23" s="49">
        <f t="shared" si="6"/>
        <v>-60430.953047158444</v>
      </c>
      <c r="AL23" s="49">
        <f t="shared" si="6"/>
        <v>-56806.822215343207</v>
      </c>
      <c r="AM23" s="49">
        <f t="shared" si="6"/>
        <v>-52824.777812320841</v>
      </c>
      <c r="AN23" s="49">
        <f t="shared" si="6"/>
        <v>-48494.686511371248</v>
      </c>
      <c r="AO23" s="49">
        <f t="shared" si="6"/>
        <v>-43773.697159771924</v>
      </c>
      <c r="AP23" s="49">
        <f t="shared" si="6"/>
        <v>-38653.250769012782</v>
      </c>
      <c r="AQ23" s="49">
        <f t="shared" si="6"/>
        <v>-33121.356170182342</v>
      </c>
      <c r="AR23" s="49">
        <f t="shared" si="6"/>
        <v>-27169.572478498128</v>
      </c>
      <c r="AS23" s="49">
        <f t="shared" si="6"/>
        <v>-20787.080452128288</v>
      </c>
      <c r="AT23" s="49">
        <f t="shared" si="6"/>
        <v>-13964.036525780779</v>
      </c>
      <c r="AU23" s="49">
        <f t="shared" si="6"/>
        <v>-6689.4156923248393</v>
      </c>
      <c r="AV23" s="49">
        <f t="shared" si="6"/>
        <v>1047.2516033891916</v>
      </c>
      <c r="AW23" s="49">
        <f t="shared" si="6"/>
        <v>9258.1045929465345</v>
      </c>
      <c r="AX23" s="49">
        <f t="shared" si="6"/>
        <v>17953.919340028166</v>
      </c>
      <c r="AY23" s="49">
        <f t="shared" si="6"/>
        <v>27145.543562872899</v>
      </c>
    </row>
    <row r="25" spans="1:51" ht="16" customHeight="1" x14ac:dyDescent="0.35">
      <c r="A25" s="54" t="s">
        <v>136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</row>
    <row r="26" spans="1:51" x14ac:dyDescent="0.35">
      <c r="A26" s="27" t="s">
        <v>137</v>
      </c>
      <c r="B26" s="28" t="s">
        <v>81</v>
      </c>
      <c r="C26" s="32" t="s">
        <v>79</v>
      </c>
      <c r="D26" s="29">
        <f>НАСТРОЙКИ!$B$18</f>
        <v>48000</v>
      </c>
      <c r="E26" s="29">
        <f t="shared" ref="E26:AY26" si="7">D30</f>
        <v>48000</v>
      </c>
      <c r="F26" s="29">
        <f t="shared" si="7"/>
        <v>48000</v>
      </c>
      <c r="G26" s="29">
        <f t="shared" si="7"/>
        <v>48000</v>
      </c>
      <c r="H26" s="29">
        <f t="shared" si="7"/>
        <v>48000</v>
      </c>
      <c r="I26" s="29">
        <f t="shared" si="7"/>
        <v>48000</v>
      </c>
      <c r="J26" s="29">
        <f t="shared" si="7"/>
        <v>48000</v>
      </c>
      <c r="K26" s="29">
        <f t="shared" si="7"/>
        <v>46000</v>
      </c>
      <c r="L26" s="29">
        <f t="shared" si="7"/>
        <v>44000</v>
      </c>
      <c r="M26" s="29">
        <f t="shared" si="7"/>
        <v>42000</v>
      </c>
      <c r="N26" s="29">
        <f t="shared" si="7"/>
        <v>40000</v>
      </c>
      <c r="O26" s="29">
        <f t="shared" si="7"/>
        <v>38000</v>
      </c>
      <c r="P26" s="29">
        <f t="shared" si="7"/>
        <v>36000</v>
      </c>
      <c r="Q26" s="29">
        <f t="shared" si="7"/>
        <v>34000</v>
      </c>
      <c r="R26" s="29">
        <f t="shared" si="7"/>
        <v>32000</v>
      </c>
      <c r="S26" s="29">
        <f t="shared" si="7"/>
        <v>30000</v>
      </c>
      <c r="T26" s="29">
        <f t="shared" si="7"/>
        <v>28000</v>
      </c>
      <c r="U26" s="29">
        <f t="shared" si="7"/>
        <v>26000</v>
      </c>
      <c r="V26" s="29">
        <f t="shared" si="7"/>
        <v>24000</v>
      </c>
      <c r="W26" s="29">
        <f t="shared" si="7"/>
        <v>22000</v>
      </c>
      <c r="X26" s="29">
        <f t="shared" si="7"/>
        <v>20000</v>
      </c>
      <c r="Y26" s="29">
        <f t="shared" si="7"/>
        <v>18000</v>
      </c>
      <c r="Z26" s="29">
        <f t="shared" si="7"/>
        <v>16000</v>
      </c>
      <c r="AA26" s="29">
        <f t="shared" si="7"/>
        <v>14000</v>
      </c>
      <c r="AB26" s="29">
        <f t="shared" si="7"/>
        <v>12000</v>
      </c>
      <c r="AC26" s="29">
        <f t="shared" si="7"/>
        <v>10000</v>
      </c>
      <c r="AD26" s="29">
        <f t="shared" si="7"/>
        <v>8000</v>
      </c>
      <c r="AE26" s="29">
        <f t="shared" si="7"/>
        <v>6000</v>
      </c>
      <c r="AF26" s="29">
        <f t="shared" si="7"/>
        <v>4000</v>
      </c>
      <c r="AG26" s="29">
        <f t="shared" si="7"/>
        <v>2000</v>
      </c>
      <c r="AH26" s="29">
        <f t="shared" si="7"/>
        <v>0</v>
      </c>
      <c r="AI26" s="29">
        <f t="shared" si="7"/>
        <v>0</v>
      </c>
      <c r="AJ26" s="29">
        <f t="shared" si="7"/>
        <v>0</v>
      </c>
      <c r="AK26" s="29">
        <f t="shared" si="7"/>
        <v>0</v>
      </c>
      <c r="AL26" s="29">
        <f t="shared" si="7"/>
        <v>0</v>
      </c>
      <c r="AM26" s="29">
        <f t="shared" si="7"/>
        <v>0</v>
      </c>
      <c r="AN26" s="29">
        <f t="shared" si="7"/>
        <v>0</v>
      </c>
      <c r="AO26" s="29">
        <f t="shared" si="7"/>
        <v>0</v>
      </c>
      <c r="AP26" s="29">
        <f t="shared" si="7"/>
        <v>0</v>
      </c>
      <c r="AQ26" s="29">
        <f t="shared" si="7"/>
        <v>0</v>
      </c>
      <c r="AR26" s="29">
        <f t="shared" si="7"/>
        <v>0</v>
      </c>
      <c r="AS26" s="29">
        <f t="shared" si="7"/>
        <v>0</v>
      </c>
      <c r="AT26" s="29">
        <f t="shared" si="7"/>
        <v>0</v>
      </c>
      <c r="AU26" s="29">
        <f t="shared" si="7"/>
        <v>0</v>
      </c>
      <c r="AV26" s="29">
        <f t="shared" si="7"/>
        <v>0</v>
      </c>
      <c r="AW26" s="29">
        <f t="shared" si="7"/>
        <v>0</v>
      </c>
      <c r="AX26" s="29">
        <f t="shared" si="7"/>
        <v>0</v>
      </c>
      <c r="AY26" s="29">
        <f t="shared" si="7"/>
        <v>0</v>
      </c>
    </row>
    <row r="27" spans="1:51" x14ac:dyDescent="0.35">
      <c r="A27" s="27" t="s">
        <v>138</v>
      </c>
      <c r="B27" s="28" t="s">
        <v>81</v>
      </c>
      <c r="C27" s="29">
        <f>НАСТРОЙКИ!$B$18</f>
        <v>48000</v>
      </c>
      <c r="D27" s="29">
        <f>НАСТРОЙКИ!$B$18</f>
        <v>48000</v>
      </c>
      <c r="E27" s="29">
        <f>0</f>
        <v>0</v>
      </c>
      <c r="F27" s="29">
        <f>0</f>
        <v>0</v>
      </c>
      <c r="G27" s="29">
        <f>0</f>
        <v>0</v>
      </c>
      <c r="H27" s="29">
        <f>0</f>
        <v>0</v>
      </c>
      <c r="I27" s="29">
        <f>0</f>
        <v>0</v>
      </c>
      <c r="J27" s="29">
        <f>0</f>
        <v>0</v>
      </c>
      <c r="K27" s="29">
        <f>0</f>
        <v>0</v>
      </c>
      <c r="L27" s="29">
        <f>0</f>
        <v>0</v>
      </c>
      <c r="M27" s="29">
        <f>0</f>
        <v>0</v>
      </c>
      <c r="N27" s="29">
        <f>0</f>
        <v>0</v>
      </c>
      <c r="O27" s="29">
        <f>0</f>
        <v>0</v>
      </c>
      <c r="P27" s="29">
        <f>0</f>
        <v>0</v>
      </c>
      <c r="Q27" s="29">
        <f>0</f>
        <v>0</v>
      </c>
      <c r="R27" s="29">
        <f>0</f>
        <v>0</v>
      </c>
      <c r="S27" s="29">
        <f>0</f>
        <v>0</v>
      </c>
      <c r="T27" s="29">
        <f>0</f>
        <v>0</v>
      </c>
      <c r="U27" s="29">
        <f>0</f>
        <v>0</v>
      </c>
      <c r="V27" s="29">
        <f>0</f>
        <v>0</v>
      </c>
      <c r="W27" s="29">
        <f>0</f>
        <v>0</v>
      </c>
      <c r="X27" s="29">
        <f>0</f>
        <v>0</v>
      </c>
      <c r="Y27" s="29">
        <f>0</f>
        <v>0</v>
      </c>
      <c r="Z27" s="29">
        <f>0</f>
        <v>0</v>
      </c>
      <c r="AA27" s="29">
        <f>0</f>
        <v>0</v>
      </c>
      <c r="AB27" s="29">
        <f>0</f>
        <v>0</v>
      </c>
      <c r="AC27" s="29">
        <f>0</f>
        <v>0</v>
      </c>
      <c r="AD27" s="29">
        <f>0</f>
        <v>0</v>
      </c>
      <c r="AE27" s="29">
        <f>0</f>
        <v>0</v>
      </c>
      <c r="AF27" s="29">
        <f>0</f>
        <v>0</v>
      </c>
      <c r="AG27" s="29">
        <f>0</f>
        <v>0</v>
      </c>
      <c r="AH27" s="29">
        <f>0</f>
        <v>0</v>
      </c>
      <c r="AI27" s="29">
        <f>0</f>
        <v>0</v>
      </c>
      <c r="AJ27" s="29">
        <f>0</f>
        <v>0</v>
      </c>
      <c r="AK27" s="29">
        <f>0</f>
        <v>0</v>
      </c>
      <c r="AL27" s="29">
        <f>0</f>
        <v>0</v>
      </c>
      <c r="AM27" s="29">
        <f>0</f>
        <v>0</v>
      </c>
      <c r="AN27" s="29">
        <f>0</f>
        <v>0</v>
      </c>
      <c r="AO27" s="29">
        <f>0</f>
        <v>0</v>
      </c>
      <c r="AP27" s="29">
        <f>0</f>
        <v>0</v>
      </c>
      <c r="AQ27" s="29">
        <f>0</f>
        <v>0</v>
      </c>
      <c r="AR27" s="29">
        <f>0</f>
        <v>0</v>
      </c>
      <c r="AS27" s="29">
        <f>0</f>
        <v>0</v>
      </c>
      <c r="AT27" s="29">
        <f>0</f>
        <v>0</v>
      </c>
      <c r="AU27" s="29">
        <f>0</f>
        <v>0</v>
      </c>
      <c r="AV27" s="29">
        <f>0</f>
        <v>0</v>
      </c>
      <c r="AW27" s="29">
        <f>0</f>
        <v>0</v>
      </c>
      <c r="AX27" s="29">
        <f>0</f>
        <v>0</v>
      </c>
      <c r="AY27" s="29">
        <f>0</f>
        <v>0</v>
      </c>
    </row>
    <row r="28" spans="1:51" x14ac:dyDescent="0.35">
      <c r="A28" s="27" t="s">
        <v>139</v>
      </c>
      <c r="B28" s="28" t="s">
        <v>81</v>
      </c>
      <c r="C28" s="29">
        <f>SUM($D$28:$AY$28)</f>
        <v>14060</v>
      </c>
      <c r="D28" s="29">
        <f>D26*НАСТРОЙКИ!$B$19/12</f>
        <v>760</v>
      </c>
      <c r="E28" s="29">
        <f>E26*НАСТРОЙКИ!$B$19/12</f>
        <v>760</v>
      </c>
      <c r="F28" s="29">
        <f>F26*НАСТРОЙКИ!$B$19/12</f>
        <v>760</v>
      </c>
      <c r="G28" s="29">
        <f>G26*НАСТРОЙКИ!$B$19/12</f>
        <v>760</v>
      </c>
      <c r="H28" s="29">
        <f>H26*НАСТРОЙКИ!$B$19/12</f>
        <v>760</v>
      </c>
      <c r="I28" s="29">
        <f>I26*НАСТРОЙКИ!$B$19/12</f>
        <v>760</v>
      </c>
      <c r="J28" s="29">
        <f>J26*НАСТРОЙКИ!$B$19/12</f>
        <v>760</v>
      </c>
      <c r="K28" s="29">
        <f>K26*НАСТРОЙКИ!$B$19/12</f>
        <v>728.33333333333337</v>
      </c>
      <c r="L28" s="29">
        <f>L26*НАСТРОЙКИ!$B$19/12</f>
        <v>696.66666666666663</v>
      </c>
      <c r="M28" s="29">
        <f>M26*НАСТРОЙКИ!$B$19/12</f>
        <v>665</v>
      </c>
      <c r="N28" s="29">
        <f>N26*НАСТРОЙКИ!$B$19/12</f>
        <v>633.33333333333337</v>
      </c>
      <c r="O28" s="29">
        <f>O26*НАСТРОЙКИ!$B$19/12</f>
        <v>601.66666666666663</v>
      </c>
      <c r="P28" s="29">
        <f>P26*НАСТРОЙКИ!$B$19/12</f>
        <v>570</v>
      </c>
      <c r="Q28" s="29">
        <f>Q26*НАСТРОЙКИ!$B$19/12</f>
        <v>538.33333333333337</v>
      </c>
      <c r="R28" s="29">
        <f>R26*НАСТРОЙКИ!$B$19/12</f>
        <v>506.66666666666669</v>
      </c>
      <c r="S28" s="29">
        <f>S26*НАСТРОЙКИ!$B$19/12</f>
        <v>475</v>
      </c>
      <c r="T28" s="29">
        <f>T26*НАСТРОЙКИ!$B$19/12</f>
        <v>443.33333333333331</v>
      </c>
      <c r="U28" s="29">
        <f>U26*НАСТРОЙКИ!$B$19/12</f>
        <v>411.66666666666669</v>
      </c>
      <c r="V28" s="29">
        <f>V26*НАСТРОЙКИ!$B$19/12</f>
        <v>380</v>
      </c>
      <c r="W28" s="29">
        <f>W26*НАСТРОЙКИ!$B$19/12</f>
        <v>348.33333333333331</v>
      </c>
      <c r="X28" s="29">
        <f>X26*НАСТРОЙКИ!$B$19/12</f>
        <v>316.66666666666669</v>
      </c>
      <c r="Y28" s="29">
        <f>Y26*НАСТРОЙКИ!$B$19/12</f>
        <v>285</v>
      </c>
      <c r="Z28" s="29">
        <f>Z26*НАСТРОЙКИ!$B$19/12</f>
        <v>253.33333333333334</v>
      </c>
      <c r="AA28" s="29">
        <f>AA26*НАСТРОЙКИ!$B$19/12</f>
        <v>221.66666666666666</v>
      </c>
      <c r="AB28" s="29">
        <f>AB26*НАСТРОЙКИ!$B$19/12</f>
        <v>190</v>
      </c>
      <c r="AC28" s="29">
        <f>AC26*НАСТРОЙКИ!$B$19/12</f>
        <v>158.33333333333334</v>
      </c>
      <c r="AD28" s="29">
        <f>AD26*НАСТРОЙКИ!$B$19/12</f>
        <v>126.66666666666667</v>
      </c>
      <c r="AE28" s="29">
        <f>AE26*НАСТРОЙКИ!$B$19/12</f>
        <v>95</v>
      </c>
      <c r="AF28" s="29">
        <f>AF26*НАСТРОЙКИ!$B$19/12</f>
        <v>63.333333333333336</v>
      </c>
      <c r="AG28" s="29">
        <f>AG26*НАСТРОЙКИ!$B$19/12</f>
        <v>31.666666666666668</v>
      </c>
      <c r="AH28" s="29">
        <f>AH26*НАСТРОЙКИ!$B$19/12</f>
        <v>0</v>
      </c>
      <c r="AI28" s="29">
        <f>AI26*НАСТРОЙКИ!$B$19/12</f>
        <v>0</v>
      </c>
      <c r="AJ28" s="29">
        <f>AJ26*НАСТРОЙКИ!$B$19/12</f>
        <v>0</v>
      </c>
      <c r="AK28" s="29">
        <f>AK26*НАСТРОЙКИ!$B$19/12</f>
        <v>0</v>
      </c>
      <c r="AL28" s="29">
        <f>AL26*НАСТРОЙКИ!$B$19/12</f>
        <v>0</v>
      </c>
      <c r="AM28" s="29">
        <f>AM26*НАСТРОЙКИ!$B$19/12</f>
        <v>0</v>
      </c>
      <c r="AN28" s="29">
        <f>AN26*НАСТРОЙКИ!$B$19/12</f>
        <v>0</v>
      </c>
      <c r="AO28" s="29">
        <f>AO26*НАСТРОЙКИ!$B$19/12</f>
        <v>0</v>
      </c>
      <c r="AP28" s="29">
        <f>AP26*НАСТРОЙКИ!$B$19/12</f>
        <v>0</v>
      </c>
      <c r="AQ28" s="29">
        <f>AQ26*НАСТРОЙКИ!$B$19/12</f>
        <v>0</v>
      </c>
      <c r="AR28" s="29">
        <f>AR26*НАСТРОЙКИ!$B$19/12</f>
        <v>0</v>
      </c>
      <c r="AS28" s="29">
        <f>AS26*НАСТРОЙКИ!$B$19/12</f>
        <v>0</v>
      </c>
      <c r="AT28" s="29">
        <f>AT26*НАСТРОЙКИ!$B$19/12</f>
        <v>0</v>
      </c>
      <c r="AU28" s="29">
        <f>AU26*НАСТРОЙКИ!$B$19/12</f>
        <v>0</v>
      </c>
      <c r="AV28" s="29">
        <f>AV26*НАСТРОЙКИ!$B$19/12</f>
        <v>0</v>
      </c>
      <c r="AW28" s="29">
        <f>AW26*НАСТРОЙКИ!$B$19/12</f>
        <v>0</v>
      </c>
      <c r="AX28" s="29">
        <f>AX26*НАСТРОЙКИ!$B$19/12</f>
        <v>0</v>
      </c>
      <c r="AY28" s="29">
        <f>AY26*НАСТРОЙКИ!$B$19/12</f>
        <v>0</v>
      </c>
    </row>
    <row r="29" spans="1:51" x14ac:dyDescent="0.35">
      <c r="A29" s="27" t="s">
        <v>140</v>
      </c>
      <c r="B29" s="28" t="s">
        <v>81</v>
      </c>
      <c r="C29" s="29">
        <f>SUM($D$29:$AY$29)</f>
        <v>48000</v>
      </c>
      <c r="D29" s="29">
        <f>IF(D5&lt;=НАСТРОЙКИ!$B$21,0,MIN(D26,НАСТРОЙКИ!$B$18/MAX(1,НАСТРОЙКИ!$B$20-НАСТРОЙКИ!$B$21)))</f>
        <v>0</v>
      </c>
      <c r="E29" s="29">
        <f>IF(E5&lt;=НАСТРОЙКИ!$B$21,0,MIN(E26,НАСТРОЙКИ!$B$18/MAX(1,НАСТРОЙКИ!$B$20-НАСТРОЙКИ!$B$21)))</f>
        <v>0</v>
      </c>
      <c r="F29" s="29">
        <f>IF(F5&lt;=НАСТРОЙКИ!$B$21,0,MIN(F26,НАСТРОЙКИ!$B$18/MAX(1,НАСТРОЙКИ!$B$20-НАСТРОЙКИ!$B$21)))</f>
        <v>0</v>
      </c>
      <c r="G29" s="29">
        <f>IF(G5&lt;=НАСТРОЙКИ!$B$21,0,MIN(G26,НАСТРОЙКИ!$B$18/MAX(1,НАСТРОЙКИ!$B$20-НАСТРОЙКИ!$B$21)))</f>
        <v>0</v>
      </c>
      <c r="H29" s="29">
        <f>IF(H5&lt;=НАСТРОЙКИ!$B$21,0,MIN(H26,НАСТРОЙКИ!$B$18/MAX(1,НАСТРОЙКИ!$B$20-НАСТРОЙКИ!$B$21)))</f>
        <v>0</v>
      </c>
      <c r="I29" s="29">
        <f>IF(I5&lt;=НАСТРОЙКИ!$B$21,0,MIN(I26,НАСТРОЙКИ!$B$18/MAX(1,НАСТРОЙКИ!$B$20-НАСТРОЙКИ!$B$21)))</f>
        <v>0</v>
      </c>
      <c r="J29" s="29">
        <f>IF(J5&lt;=НАСТРОЙКИ!$B$21,0,MIN(J26,НАСТРОЙКИ!$B$18/MAX(1,НАСТРОЙКИ!$B$20-НАСТРОЙКИ!$B$21)))</f>
        <v>2000</v>
      </c>
      <c r="K29" s="29">
        <f>IF(K5&lt;=НАСТРОЙКИ!$B$21,0,MIN(K26,НАСТРОЙКИ!$B$18/MAX(1,НАСТРОЙКИ!$B$20-НАСТРОЙКИ!$B$21)))</f>
        <v>2000</v>
      </c>
      <c r="L29" s="29">
        <f>IF(L5&lt;=НАСТРОЙКИ!$B$21,0,MIN(L26,НАСТРОЙКИ!$B$18/MAX(1,НАСТРОЙКИ!$B$20-НАСТРОЙКИ!$B$21)))</f>
        <v>2000</v>
      </c>
      <c r="M29" s="29">
        <f>IF(M5&lt;=НАСТРОЙКИ!$B$21,0,MIN(M26,НАСТРОЙКИ!$B$18/MAX(1,НАСТРОЙКИ!$B$20-НАСТРОЙКИ!$B$21)))</f>
        <v>2000</v>
      </c>
      <c r="N29" s="29">
        <f>IF(N5&lt;=НАСТРОЙКИ!$B$21,0,MIN(N26,НАСТРОЙКИ!$B$18/MAX(1,НАСТРОЙКИ!$B$20-НАСТРОЙКИ!$B$21)))</f>
        <v>2000</v>
      </c>
      <c r="O29" s="29">
        <f>IF(O5&lt;=НАСТРОЙКИ!$B$21,0,MIN(O26,НАСТРОЙКИ!$B$18/MAX(1,НАСТРОЙКИ!$B$20-НАСТРОЙКИ!$B$21)))</f>
        <v>2000</v>
      </c>
      <c r="P29" s="29">
        <f>IF(P5&lt;=НАСТРОЙКИ!$B$21,0,MIN(P26,НАСТРОЙКИ!$B$18/MAX(1,НАСТРОЙКИ!$B$20-НАСТРОЙКИ!$B$21)))</f>
        <v>2000</v>
      </c>
      <c r="Q29" s="29">
        <f>IF(Q5&lt;=НАСТРОЙКИ!$B$21,0,MIN(Q26,НАСТРОЙКИ!$B$18/MAX(1,НАСТРОЙКИ!$B$20-НАСТРОЙКИ!$B$21)))</f>
        <v>2000</v>
      </c>
      <c r="R29" s="29">
        <f>IF(R5&lt;=НАСТРОЙКИ!$B$21,0,MIN(R26,НАСТРОЙКИ!$B$18/MAX(1,НАСТРОЙКИ!$B$20-НАСТРОЙКИ!$B$21)))</f>
        <v>2000</v>
      </c>
      <c r="S29" s="29">
        <f>IF(S5&lt;=НАСТРОЙКИ!$B$21,0,MIN(S26,НАСТРОЙКИ!$B$18/MAX(1,НАСТРОЙКИ!$B$20-НАСТРОЙКИ!$B$21)))</f>
        <v>2000</v>
      </c>
      <c r="T29" s="29">
        <f>IF(T5&lt;=НАСТРОЙКИ!$B$21,0,MIN(T26,НАСТРОЙКИ!$B$18/MAX(1,НАСТРОЙКИ!$B$20-НАСТРОЙКИ!$B$21)))</f>
        <v>2000</v>
      </c>
      <c r="U29" s="29">
        <f>IF(U5&lt;=НАСТРОЙКИ!$B$21,0,MIN(U26,НАСТРОЙКИ!$B$18/MAX(1,НАСТРОЙКИ!$B$20-НАСТРОЙКИ!$B$21)))</f>
        <v>2000</v>
      </c>
      <c r="V29" s="29">
        <f>IF(V5&lt;=НАСТРОЙКИ!$B$21,0,MIN(V26,НАСТРОЙКИ!$B$18/MAX(1,НАСТРОЙКИ!$B$20-НАСТРОЙКИ!$B$21)))</f>
        <v>2000</v>
      </c>
      <c r="W29" s="29">
        <f>IF(W5&lt;=НАСТРОЙКИ!$B$21,0,MIN(W26,НАСТРОЙКИ!$B$18/MAX(1,НАСТРОЙКИ!$B$20-НАСТРОЙКИ!$B$21)))</f>
        <v>2000</v>
      </c>
      <c r="X29" s="29">
        <f>IF(X5&lt;=НАСТРОЙКИ!$B$21,0,MIN(X26,НАСТРОЙКИ!$B$18/MAX(1,НАСТРОЙКИ!$B$20-НАСТРОЙКИ!$B$21)))</f>
        <v>2000</v>
      </c>
      <c r="Y29" s="29">
        <f>IF(Y5&lt;=НАСТРОЙКИ!$B$21,0,MIN(Y26,НАСТРОЙКИ!$B$18/MAX(1,НАСТРОЙКИ!$B$20-НАСТРОЙКИ!$B$21)))</f>
        <v>2000</v>
      </c>
      <c r="Z29" s="29">
        <f>IF(Z5&lt;=НАСТРОЙКИ!$B$21,0,MIN(Z26,НАСТРОЙКИ!$B$18/MAX(1,НАСТРОЙКИ!$B$20-НАСТРОЙКИ!$B$21)))</f>
        <v>2000</v>
      </c>
      <c r="AA29" s="29">
        <f>IF(AA5&lt;=НАСТРОЙКИ!$B$21,0,MIN(AA26,НАСТРОЙКИ!$B$18/MAX(1,НАСТРОЙКИ!$B$20-НАСТРОЙКИ!$B$21)))</f>
        <v>2000</v>
      </c>
      <c r="AB29" s="29">
        <f>IF(AB5&lt;=НАСТРОЙКИ!$B$21,0,MIN(AB26,НАСТРОЙКИ!$B$18/MAX(1,НАСТРОЙКИ!$B$20-НАСТРОЙКИ!$B$21)))</f>
        <v>2000</v>
      </c>
      <c r="AC29" s="29">
        <f>IF(AC5&lt;=НАСТРОЙКИ!$B$21,0,MIN(AC26,НАСТРОЙКИ!$B$18/MAX(1,НАСТРОЙКИ!$B$20-НАСТРОЙКИ!$B$21)))</f>
        <v>2000</v>
      </c>
      <c r="AD29" s="29">
        <f>IF(AD5&lt;=НАСТРОЙКИ!$B$21,0,MIN(AD26,НАСТРОЙКИ!$B$18/MAX(1,НАСТРОЙКИ!$B$20-НАСТРОЙКИ!$B$21)))</f>
        <v>2000</v>
      </c>
      <c r="AE29" s="29">
        <f>IF(AE5&lt;=НАСТРОЙКИ!$B$21,0,MIN(AE26,НАСТРОЙКИ!$B$18/MAX(1,НАСТРОЙКИ!$B$20-НАСТРОЙКИ!$B$21)))</f>
        <v>2000</v>
      </c>
      <c r="AF29" s="29">
        <f>IF(AF5&lt;=НАСТРОЙКИ!$B$21,0,MIN(AF26,НАСТРОЙКИ!$B$18/MAX(1,НАСТРОЙКИ!$B$20-НАСТРОЙКИ!$B$21)))</f>
        <v>2000</v>
      </c>
      <c r="AG29" s="29">
        <f>IF(AG5&lt;=НАСТРОЙКИ!$B$21,0,MIN(AG26,НАСТРОЙКИ!$B$18/MAX(1,НАСТРОЙКИ!$B$20-НАСТРОЙКИ!$B$21)))</f>
        <v>2000</v>
      </c>
      <c r="AH29" s="29">
        <f>IF(AH5&lt;=НАСТРОЙКИ!$B$21,0,MIN(AH26,НАСТРОЙКИ!$B$18/MAX(1,НАСТРОЙКИ!$B$20-НАСТРОЙКИ!$B$21)))</f>
        <v>0</v>
      </c>
      <c r="AI29" s="29">
        <f>IF(AI5&lt;=НАСТРОЙКИ!$B$21,0,MIN(AI26,НАСТРОЙКИ!$B$18/MAX(1,НАСТРОЙКИ!$B$20-НАСТРОЙКИ!$B$21)))</f>
        <v>0</v>
      </c>
      <c r="AJ29" s="29">
        <f>IF(AJ5&lt;=НАСТРОЙКИ!$B$21,0,MIN(AJ26,НАСТРОЙКИ!$B$18/MAX(1,НАСТРОЙКИ!$B$20-НАСТРОЙКИ!$B$21)))</f>
        <v>0</v>
      </c>
      <c r="AK29" s="29">
        <f>IF(AK5&lt;=НАСТРОЙКИ!$B$21,0,MIN(AK26,НАСТРОЙКИ!$B$18/MAX(1,НАСТРОЙКИ!$B$20-НАСТРОЙКИ!$B$21)))</f>
        <v>0</v>
      </c>
      <c r="AL29" s="29">
        <f>IF(AL5&lt;=НАСТРОЙКИ!$B$21,0,MIN(AL26,НАСТРОЙКИ!$B$18/MAX(1,НАСТРОЙКИ!$B$20-НАСТРОЙКИ!$B$21)))</f>
        <v>0</v>
      </c>
      <c r="AM29" s="29">
        <f>IF(AM5&lt;=НАСТРОЙКИ!$B$21,0,MIN(AM26,НАСТРОЙКИ!$B$18/MAX(1,НАСТРОЙКИ!$B$20-НАСТРОЙКИ!$B$21)))</f>
        <v>0</v>
      </c>
      <c r="AN29" s="29">
        <f>IF(AN5&lt;=НАСТРОЙКИ!$B$21,0,MIN(AN26,НАСТРОЙКИ!$B$18/MAX(1,НАСТРОЙКИ!$B$20-НАСТРОЙКИ!$B$21)))</f>
        <v>0</v>
      </c>
      <c r="AO29" s="29">
        <f>IF(AO5&lt;=НАСТРОЙКИ!$B$21,0,MIN(AO26,НАСТРОЙКИ!$B$18/MAX(1,НАСТРОЙКИ!$B$20-НАСТРОЙКИ!$B$21)))</f>
        <v>0</v>
      </c>
      <c r="AP29" s="29">
        <f>IF(AP5&lt;=НАСТРОЙКИ!$B$21,0,MIN(AP26,НАСТРОЙКИ!$B$18/MAX(1,НАСТРОЙКИ!$B$20-НАСТРОЙКИ!$B$21)))</f>
        <v>0</v>
      </c>
      <c r="AQ29" s="29">
        <f>IF(AQ5&lt;=НАСТРОЙКИ!$B$21,0,MIN(AQ26,НАСТРОЙКИ!$B$18/MAX(1,НАСТРОЙКИ!$B$20-НАСТРОЙКИ!$B$21)))</f>
        <v>0</v>
      </c>
      <c r="AR29" s="29">
        <f>IF(AR5&lt;=НАСТРОЙКИ!$B$21,0,MIN(AR26,НАСТРОЙКИ!$B$18/MAX(1,НАСТРОЙКИ!$B$20-НАСТРОЙКИ!$B$21)))</f>
        <v>0</v>
      </c>
      <c r="AS29" s="29">
        <f>IF(AS5&lt;=НАСТРОЙКИ!$B$21,0,MIN(AS26,НАСТРОЙКИ!$B$18/MAX(1,НАСТРОЙКИ!$B$20-НАСТРОЙКИ!$B$21)))</f>
        <v>0</v>
      </c>
      <c r="AT29" s="29">
        <f>IF(AT5&lt;=НАСТРОЙКИ!$B$21,0,MIN(AT26,НАСТРОЙКИ!$B$18/MAX(1,НАСТРОЙКИ!$B$20-НАСТРОЙКИ!$B$21)))</f>
        <v>0</v>
      </c>
      <c r="AU29" s="29">
        <f>IF(AU5&lt;=НАСТРОЙКИ!$B$21,0,MIN(AU26,НАСТРОЙКИ!$B$18/MAX(1,НАСТРОЙКИ!$B$20-НАСТРОЙКИ!$B$21)))</f>
        <v>0</v>
      </c>
      <c r="AV29" s="29">
        <f>IF(AV5&lt;=НАСТРОЙКИ!$B$21,0,MIN(AV26,НАСТРОЙКИ!$B$18/MAX(1,НАСТРОЙКИ!$B$20-НАСТРОЙКИ!$B$21)))</f>
        <v>0</v>
      </c>
      <c r="AW29" s="29">
        <f>IF(AW5&lt;=НАСТРОЙКИ!$B$21,0,MIN(AW26,НАСТРОЙКИ!$B$18/MAX(1,НАСТРОЙКИ!$B$20-НАСТРОЙКИ!$B$21)))</f>
        <v>0</v>
      </c>
      <c r="AX29" s="29">
        <f>IF(AX5&lt;=НАСТРОЙКИ!$B$21,0,MIN(AX26,НАСТРОЙКИ!$B$18/MAX(1,НАСТРОЙКИ!$B$20-НАСТРОЙКИ!$B$21)))</f>
        <v>0</v>
      </c>
      <c r="AY29" s="29">
        <f>IF(AY5&lt;=НАСТРОЙКИ!$B$21,0,MIN(AY26,НАСТРОЙКИ!$B$18/MAX(1,НАСТРОЙКИ!$B$20-НАСТРОЙКИ!$B$21)))</f>
        <v>0</v>
      </c>
    </row>
    <row r="30" spans="1:51" x14ac:dyDescent="0.35">
      <c r="A30" s="27" t="s">
        <v>141</v>
      </c>
      <c r="B30" s="28" t="s">
        <v>81</v>
      </c>
      <c r="C30" s="32" t="s">
        <v>79</v>
      </c>
      <c r="D30" s="29">
        <f t="shared" ref="D30:AY30" si="8">MAX(0,D26-D29)</f>
        <v>48000</v>
      </c>
      <c r="E30" s="29">
        <f t="shared" si="8"/>
        <v>48000</v>
      </c>
      <c r="F30" s="29">
        <f t="shared" si="8"/>
        <v>48000</v>
      </c>
      <c r="G30" s="29">
        <f t="shared" si="8"/>
        <v>48000</v>
      </c>
      <c r="H30" s="29">
        <f t="shared" si="8"/>
        <v>48000</v>
      </c>
      <c r="I30" s="29">
        <f t="shared" si="8"/>
        <v>48000</v>
      </c>
      <c r="J30" s="29">
        <f t="shared" si="8"/>
        <v>46000</v>
      </c>
      <c r="K30" s="29">
        <f t="shared" si="8"/>
        <v>44000</v>
      </c>
      <c r="L30" s="29">
        <f t="shared" si="8"/>
        <v>42000</v>
      </c>
      <c r="M30" s="29">
        <f t="shared" si="8"/>
        <v>40000</v>
      </c>
      <c r="N30" s="29">
        <f t="shared" si="8"/>
        <v>38000</v>
      </c>
      <c r="O30" s="29">
        <f t="shared" si="8"/>
        <v>36000</v>
      </c>
      <c r="P30" s="29">
        <f t="shared" si="8"/>
        <v>34000</v>
      </c>
      <c r="Q30" s="29">
        <f t="shared" si="8"/>
        <v>32000</v>
      </c>
      <c r="R30" s="29">
        <f t="shared" si="8"/>
        <v>30000</v>
      </c>
      <c r="S30" s="29">
        <f t="shared" si="8"/>
        <v>28000</v>
      </c>
      <c r="T30" s="29">
        <f t="shared" si="8"/>
        <v>26000</v>
      </c>
      <c r="U30" s="29">
        <f t="shared" si="8"/>
        <v>24000</v>
      </c>
      <c r="V30" s="29">
        <f t="shared" si="8"/>
        <v>22000</v>
      </c>
      <c r="W30" s="29">
        <f t="shared" si="8"/>
        <v>20000</v>
      </c>
      <c r="X30" s="29">
        <f t="shared" si="8"/>
        <v>18000</v>
      </c>
      <c r="Y30" s="29">
        <f t="shared" si="8"/>
        <v>16000</v>
      </c>
      <c r="Z30" s="29">
        <f t="shared" si="8"/>
        <v>14000</v>
      </c>
      <c r="AA30" s="29">
        <f t="shared" si="8"/>
        <v>12000</v>
      </c>
      <c r="AB30" s="29">
        <f t="shared" si="8"/>
        <v>10000</v>
      </c>
      <c r="AC30" s="29">
        <f t="shared" si="8"/>
        <v>8000</v>
      </c>
      <c r="AD30" s="29">
        <f t="shared" si="8"/>
        <v>6000</v>
      </c>
      <c r="AE30" s="29">
        <f t="shared" si="8"/>
        <v>4000</v>
      </c>
      <c r="AF30" s="29">
        <f t="shared" si="8"/>
        <v>2000</v>
      </c>
      <c r="AG30" s="29">
        <f t="shared" si="8"/>
        <v>0</v>
      </c>
      <c r="AH30" s="29">
        <f t="shared" si="8"/>
        <v>0</v>
      </c>
      <c r="AI30" s="29">
        <f t="shared" si="8"/>
        <v>0</v>
      </c>
      <c r="AJ30" s="29">
        <f t="shared" si="8"/>
        <v>0</v>
      </c>
      <c r="AK30" s="29">
        <f t="shared" si="8"/>
        <v>0</v>
      </c>
      <c r="AL30" s="29">
        <f t="shared" si="8"/>
        <v>0</v>
      </c>
      <c r="AM30" s="29">
        <f t="shared" si="8"/>
        <v>0</v>
      </c>
      <c r="AN30" s="29">
        <f t="shared" si="8"/>
        <v>0</v>
      </c>
      <c r="AO30" s="29">
        <f t="shared" si="8"/>
        <v>0</v>
      </c>
      <c r="AP30" s="29">
        <f t="shared" si="8"/>
        <v>0</v>
      </c>
      <c r="AQ30" s="29">
        <f t="shared" si="8"/>
        <v>0</v>
      </c>
      <c r="AR30" s="29">
        <f t="shared" si="8"/>
        <v>0</v>
      </c>
      <c r="AS30" s="29">
        <f t="shared" si="8"/>
        <v>0</v>
      </c>
      <c r="AT30" s="29">
        <f t="shared" si="8"/>
        <v>0</v>
      </c>
      <c r="AU30" s="29">
        <f t="shared" si="8"/>
        <v>0</v>
      </c>
      <c r="AV30" s="29">
        <f t="shared" si="8"/>
        <v>0</v>
      </c>
      <c r="AW30" s="29">
        <f t="shared" si="8"/>
        <v>0</v>
      </c>
      <c r="AX30" s="29">
        <f t="shared" si="8"/>
        <v>0</v>
      </c>
      <c r="AY30" s="29">
        <f t="shared" si="8"/>
        <v>0</v>
      </c>
    </row>
    <row r="32" spans="1:51" ht="16" customHeight="1" x14ac:dyDescent="0.35">
      <c r="A32" s="54" t="s">
        <v>142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x14ac:dyDescent="0.35">
      <c r="A33" s="27" t="s">
        <v>143</v>
      </c>
      <c r="B33" s="28" t="s">
        <v>81</v>
      </c>
      <c r="C33" s="29">
        <f>AY33</f>
        <v>21655.368874588159</v>
      </c>
      <c r="D33" s="46">
        <f>'P&amp;L'!$D$7*НАСТРОЙКИ!$B$29/30</f>
        <v>0</v>
      </c>
      <c r="E33" s="46">
        <f>'P&amp;L'!$E$7*НАСТРОЙКИ!$B$29/30</f>
        <v>0</v>
      </c>
      <c r="F33" s="46">
        <f>'P&amp;L'!$F$7*НАСТРОЙКИ!$B$29/30</f>
        <v>0</v>
      </c>
      <c r="G33" s="46">
        <f>'P&amp;L'!$G$7*НАСТРОЙКИ!$B$29/30</f>
        <v>0</v>
      </c>
      <c r="H33" s="46">
        <f>'P&amp;L'!$H$7*НАСТРОЙКИ!$B$29/30</f>
        <v>0</v>
      </c>
      <c r="I33" s="46">
        <f>'P&amp;L'!$I$7*НАСТРОЙКИ!$B$29/30</f>
        <v>0</v>
      </c>
      <c r="J33" s="46">
        <f>'P&amp;L'!$J$7*НАСТРОЙКИ!$B$29/30</f>
        <v>0</v>
      </c>
      <c r="K33" s="46">
        <f>'P&amp;L'!$K$7*НАСТРОЙКИ!$B$29/30</f>
        <v>0</v>
      </c>
      <c r="L33" s="46">
        <f>'P&amp;L'!$L$7*НАСТРОЙКИ!$B$29/30</f>
        <v>0</v>
      </c>
      <c r="M33" s="46">
        <f>'P&amp;L'!$M$7*НАСТРОЙКИ!$B$29/30</f>
        <v>0</v>
      </c>
      <c r="N33" s="46">
        <f>'P&amp;L'!$N$7*НАСТРОЙКИ!$B$29/30</f>
        <v>0</v>
      </c>
      <c r="O33" s="46">
        <f>'P&amp;L'!$O$7*НАСТРОЙКИ!$B$29/30</f>
        <v>0</v>
      </c>
      <c r="P33" s="46">
        <f>'P&amp;L'!$P$7*НАСТРОЙКИ!$B$29/30</f>
        <v>360.38652242553337</v>
      </c>
      <c r="Q33" s="46">
        <f>'P&amp;L'!$Q$7*НАСТРОЙКИ!$B$29/30</f>
        <v>729.80959589624797</v>
      </c>
      <c r="R33" s="46">
        <f>'P&amp;L'!$R$7*НАСТРОЙКИ!$B$29/30</f>
        <v>1109.6012889135102</v>
      </c>
      <c r="S33" s="46">
        <f>'P&amp;L'!$S$7*НАСТРОЙКИ!$B$29/30</f>
        <v>1498.5883949131153</v>
      </c>
      <c r="T33" s="46">
        <f>'P&amp;L'!$T$7*НАСТРОЙКИ!$B$29/30</f>
        <v>1898.5645511455718</v>
      </c>
      <c r="U33" s="46">
        <f>'P&amp;L'!$U$7*НАСТРОЙКИ!$B$29/30</f>
        <v>2308.3353484802092</v>
      </c>
      <c r="V33" s="46">
        <f>'P&amp;L'!$V$7*НАСТРОЙКИ!$B$29/30</f>
        <v>2729.3088848264811</v>
      </c>
      <c r="W33" s="46">
        <f>'P&amp;L'!$W$7*НАСТРОЙКИ!$B$29/30</f>
        <v>3160.4767972059708</v>
      </c>
      <c r="X33" s="46">
        <f>'P&amp;L'!$X$7*НАСТРОЙКИ!$B$29/30</f>
        <v>3603.2868071773291</v>
      </c>
      <c r="Y33" s="46">
        <f>'P&amp;L'!$Y$7*НАСТРОЙКИ!$B$29/30</f>
        <v>4056.7053311818554</v>
      </c>
      <c r="Z33" s="46">
        <f>'P&amp;L'!$Z$7*НАСТРОЙКИ!$B$29/30</f>
        <v>4521.9866257769309</v>
      </c>
      <c r="AA33" s="46">
        <f>'P&amp;L'!$AA$7*НАСТРОЙКИ!$B$29/30</f>
        <v>4998.536539307006</v>
      </c>
      <c r="AB33" s="46">
        <f>'P&amp;L'!$AB$7*НАСТРОЙКИ!$B$29/30</f>
        <v>5508.2016093531374</v>
      </c>
      <c r="AC33" s="46">
        <f>'P&amp;L'!$AC$7*НАСТРОЙКИ!$B$29/30</f>
        <v>6031.2417168771708</v>
      </c>
      <c r="AD33" s="46">
        <f>'P&amp;L'!$AD$7*НАСТРОЙКИ!$B$29/30</f>
        <v>6566.5687591299275</v>
      </c>
      <c r="AE33" s="46">
        <f>'P&amp;L'!$AE$7*НАСТРОЙКИ!$B$29/30</f>
        <v>7115.0989684264223</v>
      </c>
      <c r="AF33" s="46">
        <f>'P&amp;L'!$AF$7*НАСТРОЙКИ!$B$29/30</f>
        <v>7677.7891218501563</v>
      </c>
      <c r="AG33" s="46">
        <f>'P&amp;L'!$AG$7*НАСТРОЙКИ!$B$29/30</f>
        <v>8253.5102461758797</v>
      </c>
      <c r="AH33" s="46">
        <f>'P&amp;L'!$AH$7*НАСТРОЙКИ!$B$29/30</f>
        <v>8842.9586133531411</v>
      </c>
      <c r="AI33" s="46">
        <f>'P&amp;L'!$AI$7*НАСТРОЙКИ!$B$29/30</f>
        <v>9447.6503961306516</v>
      </c>
      <c r="AJ33" s="46">
        <f>'P&amp;L'!$AJ$7*НАСТРОЙКИ!$B$29/30</f>
        <v>10066.157270559173</v>
      </c>
      <c r="AK33" s="46">
        <f>'P&amp;L'!$AK$7*НАСТРОЙКИ!$B$29/30</f>
        <v>10699.47807934648</v>
      </c>
      <c r="AL33" s="46">
        <f>'P&amp;L'!$AL$7*НАСТРОЙКИ!$B$29/30</f>
        <v>11348.655654606437</v>
      </c>
      <c r="AM33" s="46">
        <f>'P&amp;L'!$AM$7*НАСТРОЙКИ!$B$29/30</f>
        <v>12012.474648453122</v>
      </c>
      <c r="AN33" s="46">
        <f>'P&amp;L'!$AN$7*НАСТРОЙКИ!$B$29/30</f>
        <v>12718.184985294169</v>
      </c>
      <c r="AO33" s="46">
        <f>'P&amp;L'!$AO$7*НАСТРОЙКИ!$B$29/30</f>
        <v>13440.293037098927</v>
      </c>
      <c r="AP33" s="46">
        <f>'P&amp;L'!$AP$7*НАСТРОЙКИ!$B$29/30</f>
        <v>14180.484757760687</v>
      </c>
      <c r="AQ33" s="46">
        <f>'P&amp;L'!$AQ$7*НАСТРОЙКИ!$B$29/30</f>
        <v>14936.922561207595</v>
      </c>
      <c r="AR33" s="46">
        <f>'P&amp;L'!$AR$7*НАСТРОЙКИ!$B$29/30</f>
        <v>15711.308320738473</v>
      </c>
      <c r="AS33" s="46">
        <f>'P&amp;L'!$AS$7*НАСТРОЙКИ!$B$29/30</f>
        <v>16503.387694478399</v>
      </c>
      <c r="AT33" s="46">
        <f>'P&amp;L'!$AT$7*НАСТРОЙКИ!$B$29/30</f>
        <v>17314.101299448306</v>
      </c>
      <c r="AU33" s="46">
        <f>'P&amp;L'!$AU$7*НАСТРОЙКИ!$B$29/30</f>
        <v>18143.499998293952</v>
      </c>
      <c r="AV33" s="46">
        <f>'P&amp;L'!$AV$7*НАСТРОЙКИ!$B$29/30</f>
        <v>18992.489570067788</v>
      </c>
      <c r="AW33" s="46">
        <f>'P&amp;L'!$AW$7*НАСТРОЙКИ!$B$29/30</f>
        <v>19860.334360742636</v>
      </c>
      <c r="AX33" s="46">
        <f>'P&amp;L'!$AX$7*НАСТРОЙКИ!$B$29/30</f>
        <v>20747.623392756137</v>
      </c>
      <c r="AY33" s="46">
        <f>'P&amp;L'!$AY$7*НАСТРОЙКИ!$B$29/30</f>
        <v>21655.368874588159</v>
      </c>
    </row>
    <row r="34" spans="1:51" x14ac:dyDescent="0.35">
      <c r="A34" s="27" t="s">
        <v>144</v>
      </c>
      <c r="B34" s="28" t="s">
        <v>81</v>
      </c>
      <c r="C34" s="29">
        <f>AY34</f>
        <v>21782.095645971294</v>
      </c>
      <c r="D34" s="46">
        <f>'P&amp;L'!$D$12*НАСТРОЙКИ!$B$30/30</f>
        <v>1230</v>
      </c>
      <c r="E34" s="46">
        <f>'P&amp;L'!$E$12*НАСТРОЙКИ!$B$30/30</f>
        <v>1246.4000000000001</v>
      </c>
      <c r="F34" s="46">
        <f>'P&amp;L'!$F$12*НАСТРОЙКИ!$B$30/30</f>
        <v>1263.0186666666668</v>
      </c>
      <c r="G34" s="46">
        <f>'P&amp;L'!$G$12*НАСТРОЙКИ!$B$30/30</f>
        <v>1279.858915555556</v>
      </c>
      <c r="H34" s="46">
        <f>'P&amp;L'!$H$12*НАСТРОЙКИ!$B$30/30</f>
        <v>1296.9237010962968</v>
      </c>
      <c r="I34" s="46">
        <f>'P&amp;L'!$I$12*НАСТРОЙКИ!$B$30/30</f>
        <v>1314.2160171109142</v>
      </c>
      <c r="J34" s="46">
        <f>'P&amp;L'!$J$12*НАСТРОЙКИ!$B$30/30</f>
        <v>1331.7388973390598</v>
      </c>
      <c r="K34" s="46">
        <f>'P&amp;L'!$K$12*НАСТРОЙКИ!$B$30/30</f>
        <v>1349.4954159702472</v>
      </c>
      <c r="L34" s="46">
        <f>'P&amp;L'!$L$12*НАСТРОЙКИ!$B$30/30</f>
        <v>1367.4886881831842</v>
      </c>
      <c r="M34" s="46">
        <f>'P&amp;L'!$M$12*НАСТРОЙКИ!$B$30/30</f>
        <v>1385.7218706922934</v>
      </c>
      <c r="N34" s="46">
        <f>'P&amp;L'!$N$12*НАСТРОЙКИ!$B$30/30</f>
        <v>1404.198162301524</v>
      </c>
      <c r="O34" s="46">
        <f>'P&amp;L'!$O$12*НАСТРОЙКИ!$B$30/30</f>
        <v>1422.9208044655445</v>
      </c>
      <c r="P34" s="46">
        <f>'P&amp;L'!$P$12*НАСТРОЙКИ!$B$30/30</f>
        <v>1766.2409520413987</v>
      </c>
      <c r="Q34" s="46">
        <f>'P&amp;L'!$Q$12*НАСТРОЙКИ!$B$30/30</f>
        <v>2117.9469592564874</v>
      </c>
      <c r="R34" s="46">
        <f>'P&amp;L'!$R$12*НАСТРОЙКИ!$B$30/30</f>
        <v>2479.2410606113549</v>
      </c>
      <c r="S34" s="46">
        <f>'P&amp;L'!$S$12*НАСТРОЙКИ!$B$30/30</f>
        <v>2849.0707880188556</v>
      </c>
      <c r="T34" s="46">
        <f>'P&amp;L'!$T$12*НАСТРОЙКИ!$B$30/30</f>
        <v>3229.0538783960274</v>
      </c>
      <c r="U34" s="46">
        <f>'P&amp;L'!$U$12*НАСТРОЙКИ!$B$30/30</f>
        <v>3618.1188730954018</v>
      </c>
      <c r="V34" s="46">
        <f>'P&amp;L'!$V$12*НАСТРОЙКИ!$B$30/30</f>
        <v>4017.5366165998885</v>
      </c>
      <c r="W34" s="46">
        <f>'P&amp;L'!$W$12*НАСТРОЙКИ!$B$30/30</f>
        <v>4426.4031860115101</v>
      </c>
      <c r="X34" s="46">
        <f>'P&amp;L'!$X$12*НАСТРОЙКИ!$B$30/30</f>
        <v>4846.0251825660816</v>
      </c>
      <c r="Y34" s="46">
        <f>'P&amp;L'!$Y$12*НАСТРОЙКИ!$B$30/30</f>
        <v>5275.4760815849086</v>
      </c>
      <c r="Z34" s="46">
        <f>'P&amp;L'!$Z$12*НАСТРОЙКИ!$B$30/30</f>
        <v>5715.8884638340933</v>
      </c>
      <c r="AA34" s="46">
        <f>'P&amp;L'!$AA$12*НАСТРОЙКИ!$B$30/30</f>
        <v>6166.7313926862926</v>
      </c>
      <c r="AB34" s="46">
        <f>'P&amp;L'!$AB$12*НАСТРОЙКИ!$B$30/30</f>
        <v>6647.6706024919431</v>
      </c>
      <c r="AC34" s="46">
        <f>'P&amp;L'!$AC$12*НАСТРОЙКИ!$B$30/30</f>
        <v>7140.9438879845629</v>
      </c>
      <c r="AD34" s="46">
        <f>'P&amp;L'!$AD$12*НАСТРОЙКИ!$B$30/30</f>
        <v>7645.5759105826446</v>
      </c>
      <c r="AE34" s="46">
        <f>'P&amp;L'!$AE$12*НАСТРОЙКИ!$B$30/30</f>
        <v>8162.3952859810324</v>
      </c>
      <c r="AF34" s="46">
        <f>'P&amp;L'!$AF$12*НАСТРОЙКИ!$B$30/30</f>
        <v>8692.2671735876902</v>
      </c>
      <c r="AG34" s="46">
        <f>'P&amp;L'!$AG$12*НАСТРОЙКИ!$B$30/30</f>
        <v>9234.1796116664755</v>
      </c>
      <c r="AH34" s="46">
        <f>'P&amp;L'!$AH$12*НАСТРОЙКИ!$B$30/30</f>
        <v>9788.7634139941201</v>
      </c>
      <c r="AI34" s="46">
        <f>'P&amp;L'!$AI$12*НАСТРОЙКИ!$B$30/30</f>
        <v>10357.387360653565</v>
      </c>
      <c r="AJ34" s="46">
        <f>'P&amp;L'!$AJ$12*НАСТРОЙКИ!$B$30/30</f>
        <v>10938.770241027714</v>
      </c>
      <c r="AK34" s="46">
        <f>'P&amp;L'!$AK$12*НАСТРОЙКИ!$B$30/30</f>
        <v>11533.815351569949</v>
      </c>
      <c r="AL34" s="46">
        <f>'P&amp;L'!$AL$12*НАСТРОЙКИ!$B$30/30</f>
        <v>12143.465637039351</v>
      </c>
      <c r="AM34" s="46">
        <f>'P&amp;L'!$AM$12*НАСТРОЙКИ!$B$30/30</f>
        <v>12766.631738806616</v>
      </c>
      <c r="AN34" s="46">
        <f>'P&amp;L'!$AN$12*НАСТРОЙКИ!$B$30/30</f>
        <v>13427.843102699542</v>
      </c>
      <c r="AO34" s="46">
        <f>'P&amp;L'!$AO$12*НАСТРОЙКИ!$B$30/30</f>
        <v>14104.16003753629</v>
      </c>
      <c r="AP34" s="46">
        <f>'P&amp;L'!$AP$12*НАСТРОЙКИ!$B$30/30</f>
        <v>14797.104536853838</v>
      </c>
      <c r="AQ34" s="46">
        <f>'P&amp;L'!$AQ$12*НАСТРОЙКИ!$B$30/30</f>
        <v>15505.027470020979</v>
      </c>
      <c r="AR34" s="46">
        <f>'P&amp;L'!$AR$12*НАСТРОЙКИ!$B$30/30</f>
        <v>16229.465282464555</v>
      </c>
      <c r="AS34" s="46">
        <f>'P&amp;L'!$AS$12*НАСТРОЙКИ!$B$30/30</f>
        <v>16970.193889414488</v>
      </c>
      <c r="AT34" s="46">
        <f>'P&amp;L'!$AT$12*НАСТРОЙКИ!$B$30/30</f>
        <v>17728.064733412524</v>
      </c>
      <c r="AU34" s="46">
        <f>'P&amp;L'!$AU$12*НАСТРОЙКИ!$B$30/30</f>
        <v>18503.128543225725</v>
      </c>
      <c r="AV34" s="46">
        <f>'P&amp;L'!$AV$12*НАСТРОЙКИ!$B$30/30</f>
        <v>19296.205538418992</v>
      </c>
      <c r="AW34" s="46">
        <f>'P&amp;L'!$AW$12*НАСТРОЙКИ!$B$30/30</f>
        <v>20106.638715697794</v>
      </c>
      <c r="AX34" s="46">
        <f>'P&amp;L'!$AX$12*НАСТРОЙКИ!$B$30/30</f>
        <v>20934.963348390342</v>
      </c>
      <c r="AY34" s="46">
        <f>'P&amp;L'!$AY$12*НАСТРОЙКИ!$B$30/30</f>
        <v>21782.095645971294</v>
      </c>
    </row>
    <row r="35" spans="1:51" x14ac:dyDescent="0.35">
      <c r="A35" s="27" t="s">
        <v>145</v>
      </c>
      <c r="B35" s="28" t="s">
        <v>81</v>
      </c>
      <c r="C35" s="29">
        <f>AY35</f>
        <v>14521.397097314195</v>
      </c>
      <c r="D35" s="46">
        <f>'P&amp;L'!$D$12*НАСТРОЙКИ!$B$31/30</f>
        <v>820</v>
      </c>
      <c r="E35" s="46">
        <f>'P&amp;L'!$E$12*НАСТРОЙКИ!$B$31/30</f>
        <v>830.93333333333328</v>
      </c>
      <c r="F35" s="46">
        <f>'P&amp;L'!$F$12*НАСТРОЙКИ!$B$31/30</f>
        <v>842.01244444444455</v>
      </c>
      <c r="G35" s="46">
        <f>'P&amp;L'!$G$12*НАСТРОЙКИ!$B$31/30</f>
        <v>853.23927703703725</v>
      </c>
      <c r="H35" s="46">
        <f>'P&amp;L'!$H$12*НАСТРОЙКИ!$B$31/30</f>
        <v>864.61580073086452</v>
      </c>
      <c r="I35" s="46">
        <f>'P&amp;L'!$I$12*НАСТРОЙКИ!$B$31/30</f>
        <v>876.14401140727614</v>
      </c>
      <c r="J35" s="46">
        <f>'P&amp;L'!$J$12*НАСТРОЙКИ!$B$31/30</f>
        <v>887.8259315593732</v>
      </c>
      <c r="K35" s="46">
        <f>'P&amp;L'!$K$12*НАСТРОЙКИ!$B$31/30</f>
        <v>899.66361064683156</v>
      </c>
      <c r="L35" s="46">
        <f>'P&amp;L'!$L$12*НАСТРОЙКИ!$B$31/30</f>
        <v>911.65912545545609</v>
      </c>
      <c r="M35" s="46">
        <f>'P&amp;L'!$M$12*НАСТРОЙКИ!$B$31/30</f>
        <v>923.81458046152886</v>
      </c>
      <c r="N35" s="46">
        <f>'P&amp;L'!$N$12*НАСТРОЙКИ!$B$31/30</f>
        <v>936.13210820101597</v>
      </c>
      <c r="O35" s="46">
        <f>'P&amp;L'!$O$12*НАСТРОЙКИ!$B$31/30</f>
        <v>948.61386964369626</v>
      </c>
      <c r="P35" s="46">
        <f>'P&amp;L'!$P$12*НАСТРОЙКИ!$B$31/30</f>
        <v>1177.4939680275991</v>
      </c>
      <c r="Q35" s="46">
        <f>'P&amp;L'!$Q$12*НАСТРОЙКИ!$B$31/30</f>
        <v>1411.9646395043249</v>
      </c>
      <c r="R35" s="46">
        <f>'P&amp;L'!$R$12*НАСТРОЙКИ!$B$31/30</f>
        <v>1652.8273737409033</v>
      </c>
      <c r="S35" s="46">
        <f>'P&amp;L'!$S$12*НАСТРОЙКИ!$B$31/30</f>
        <v>1899.3805253459036</v>
      </c>
      <c r="T35" s="46">
        <f>'P&amp;L'!$T$12*НАСТРОЙКИ!$B$31/30</f>
        <v>2152.7025855973516</v>
      </c>
      <c r="U35" s="46">
        <f>'P&amp;L'!$U$12*НАСТРОЙКИ!$B$31/30</f>
        <v>2412.0792487302679</v>
      </c>
      <c r="V35" s="46">
        <f>'P&amp;L'!$V$12*НАСТРОЙКИ!$B$31/30</f>
        <v>2678.3577443999257</v>
      </c>
      <c r="W35" s="46">
        <f>'P&amp;L'!$W$12*НАСТРОЙКИ!$B$31/30</f>
        <v>2950.9354573410069</v>
      </c>
      <c r="X35" s="46">
        <f>'P&amp;L'!$X$12*НАСТРОЙКИ!$B$31/30</f>
        <v>3230.6834550440544</v>
      </c>
      <c r="Y35" s="46">
        <f>'P&amp;L'!$Y$12*НАСТРОЙКИ!$B$31/30</f>
        <v>3516.984054389939</v>
      </c>
      <c r="Z35" s="46">
        <f>'P&amp;L'!$Z$12*НАСТРОЙКИ!$B$31/30</f>
        <v>3810.5923092227285</v>
      </c>
      <c r="AA35" s="46">
        <f>'P&amp;L'!$AA$12*НАСТРОЙКИ!$B$31/30</f>
        <v>4111.1542617908617</v>
      </c>
      <c r="AB35" s="46">
        <f>'P&amp;L'!$AB$12*НАСТРОЙКИ!$B$31/30</f>
        <v>4431.7804016612954</v>
      </c>
      <c r="AC35" s="46">
        <f>'P&amp;L'!$AC$12*НАСТРОЙКИ!$B$31/30</f>
        <v>4760.629258656375</v>
      </c>
      <c r="AD35" s="46">
        <f>'P&amp;L'!$AD$12*НАСТРОЙКИ!$B$31/30</f>
        <v>5097.0506070550964</v>
      </c>
      <c r="AE35" s="46">
        <f>'P&amp;L'!$AE$12*НАСТРОЙКИ!$B$31/30</f>
        <v>5441.5968573206883</v>
      </c>
      <c r="AF35" s="46">
        <f>'P&amp;L'!$AF$12*НАСТРОЙКИ!$B$31/30</f>
        <v>5794.8447823917932</v>
      </c>
      <c r="AG35" s="46">
        <f>'P&amp;L'!$AG$12*НАСТРОЙКИ!$B$31/30</f>
        <v>6156.1197411109833</v>
      </c>
      <c r="AH35" s="46">
        <f>'P&amp;L'!$AH$12*НАСТРОЙКИ!$B$31/30</f>
        <v>6525.8422759960804</v>
      </c>
      <c r="AI35" s="46">
        <f>'P&amp;L'!$AI$12*НАСТРОЙКИ!$B$31/30</f>
        <v>6904.924907102376</v>
      </c>
      <c r="AJ35" s="46">
        <f>'P&amp;L'!$AJ$12*НАСТРОЙКИ!$B$31/30</f>
        <v>7292.5134940184753</v>
      </c>
      <c r="AK35" s="46">
        <f>'P&amp;L'!$AK$12*НАСТРОЙКИ!$B$31/30</f>
        <v>7689.2102343799661</v>
      </c>
      <c r="AL35" s="46">
        <f>'P&amp;L'!$AL$12*НАСТРОЙКИ!$B$31/30</f>
        <v>8095.6437580262336</v>
      </c>
      <c r="AM35" s="46">
        <f>'P&amp;L'!$AM$12*НАСТРОЙКИ!$B$31/30</f>
        <v>8511.0878258710782</v>
      </c>
      <c r="AN35" s="46">
        <f>'P&amp;L'!$AN$12*НАСТРОЙКИ!$B$31/30</f>
        <v>8951.8954017996948</v>
      </c>
      <c r="AO35" s="46">
        <f>'P&amp;L'!$AO$12*НАСТРОЙКИ!$B$31/30</f>
        <v>9402.7733583575264</v>
      </c>
      <c r="AP35" s="46">
        <f>'P&amp;L'!$AP$12*НАСТРОЙКИ!$B$31/30</f>
        <v>9864.7363579025587</v>
      </c>
      <c r="AQ35" s="46">
        <f>'P&amp;L'!$AQ$12*НАСТРОЙКИ!$B$31/30</f>
        <v>10336.684980013986</v>
      </c>
      <c r="AR35" s="46">
        <f>'P&amp;L'!$AR$12*НАСТРОЙКИ!$B$31/30</f>
        <v>10819.643521643036</v>
      </c>
      <c r="AS35" s="46">
        <f>'P&amp;L'!$AS$12*НАСТРОЙКИ!$B$31/30</f>
        <v>11313.462592942991</v>
      </c>
      <c r="AT35" s="46">
        <f>'P&amp;L'!$AT$12*НАСТРОЙКИ!$B$31/30</f>
        <v>11818.709822275016</v>
      </c>
      <c r="AU35" s="46">
        <f>'P&amp;L'!$AU$12*НАСТРОЙКИ!$B$31/30</f>
        <v>12335.41902881715</v>
      </c>
      <c r="AV35" s="46">
        <f>'P&amp;L'!$AV$12*НАСТРОЙКИ!$B$31/30</f>
        <v>12864.137025612661</v>
      </c>
      <c r="AW35" s="46">
        <f>'P&amp;L'!$AW$12*НАСТРОЙКИ!$B$31/30</f>
        <v>13404.425810465198</v>
      </c>
      <c r="AX35" s="46">
        <f>'P&amp;L'!$AX$12*НАСТРОЙКИ!$B$31/30</f>
        <v>13956.642232260227</v>
      </c>
      <c r="AY35" s="46">
        <f>'P&amp;L'!$AY$12*НАСТРОЙКИ!$B$31/30</f>
        <v>14521.397097314195</v>
      </c>
    </row>
    <row r="36" spans="1:51" x14ac:dyDescent="0.35">
      <c r="A36" s="37" t="s">
        <v>146</v>
      </c>
      <c r="B36" s="38" t="s">
        <v>81</v>
      </c>
      <c r="C36" s="39">
        <f>AY36</f>
        <v>28916.067423245262</v>
      </c>
      <c r="D36" s="39">
        <f t="shared" ref="D36:AY36" si="9">D33+D34-D35</f>
        <v>410</v>
      </c>
      <c r="E36" s="39">
        <f t="shared" si="9"/>
        <v>415.46666666666681</v>
      </c>
      <c r="F36" s="39">
        <f t="shared" si="9"/>
        <v>421.00622222222228</v>
      </c>
      <c r="G36" s="39">
        <f t="shared" si="9"/>
        <v>426.61963851851874</v>
      </c>
      <c r="H36" s="39">
        <f t="shared" si="9"/>
        <v>432.30790036543226</v>
      </c>
      <c r="I36" s="39">
        <f t="shared" si="9"/>
        <v>438.07200570363807</v>
      </c>
      <c r="J36" s="39">
        <f t="shared" si="9"/>
        <v>443.9129657796866</v>
      </c>
      <c r="K36" s="39">
        <f t="shared" si="9"/>
        <v>449.83180532341567</v>
      </c>
      <c r="L36" s="39">
        <f t="shared" si="9"/>
        <v>455.8295627277281</v>
      </c>
      <c r="M36" s="39">
        <f t="shared" si="9"/>
        <v>461.90729023076449</v>
      </c>
      <c r="N36" s="39">
        <f t="shared" si="9"/>
        <v>468.06605410050804</v>
      </c>
      <c r="O36" s="39">
        <f t="shared" si="9"/>
        <v>474.30693482184824</v>
      </c>
      <c r="P36" s="39">
        <f t="shared" si="9"/>
        <v>949.13350643933313</v>
      </c>
      <c r="Q36" s="39">
        <f t="shared" si="9"/>
        <v>1435.7919156484106</v>
      </c>
      <c r="R36" s="39">
        <f t="shared" si="9"/>
        <v>1936.014975783962</v>
      </c>
      <c r="S36" s="39">
        <f t="shared" si="9"/>
        <v>2448.2786575860678</v>
      </c>
      <c r="T36" s="39">
        <f t="shared" si="9"/>
        <v>2974.9158439442472</v>
      </c>
      <c r="U36" s="39">
        <f t="shared" si="9"/>
        <v>3514.3749728453431</v>
      </c>
      <c r="V36" s="39">
        <f t="shared" si="9"/>
        <v>4068.4877570264434</v>
      </c>
      <c r="W36" s="39">
        <f t="shared" si="9"/>
        <v>4635.9445258764736</v>
      </c>
      <c r="X36" s="39">
        <f t="shared" si="9"/>
        <v>5218.6285346993573</v>
      </c>
      <c r="Y36" s="39">
        <f t="shared" si="9"/>
        <v>5815.1973583768249</v>
      </c>
      <c r="Z36" s="39">
        <f t="shared" si="9"/>
        <v>6427.2827803882965</v>
      </c>
      <c r="AA36" s="39">
        <f t="shared" si="9"/>
        <v>7054.113670202436</v>
      </c>
      <c r="AB36" s="39">
        <f t="shared" si="9"/>
        <v>7724.0918101837851</v>
      </c>
      <c r="AC36" s="39">
        <f t="shared" si="9"/>
        <v>8411.5563462053578</v>
      </c>
      <c r="AD36" s="39">
        <f t="shared" si="9"/>
        <v>9115.0940626574757</v>
      </c>
      <c r="AE36" s="39">
        <f t="shared" si="9"/>
        <v>9835.8973970867664</v>
      </c>
      <c r="AF36" s="39">
        <f t="shared" si="9"/>
        <v>10575.211513046055</v>
      </c>
      <c r="AG36" s="39">
        <f t="shared" si="9"/>
        <v>11331.570116731375</v>
      </c>
      <c r="AH36" s="39">
        <f t="shared" si="9"/>
        <v>12105.879751351182</v>
      </c>
      <c r="AI36" s="39">
        <f t="shared" si="9"/>
        <v>12900.112849681838</v>
      </c>
      <c r="AJ36" s="39">
        <f t="shared" si="9"/>
        <v>13712.414017568412</v>
      </c>
      <c r="AK36" s="39">
        <f t="shared" si="9"/>
        <v>14544.08319653646</v>
      </c>
      <c r="AL36" s="39">
        <f t="shared" si="9"/>
        <v>15396.477533619554</v>
      </c>
      <c r="AM36" s="39">
        <f t="shared" si="9"/>
        <v>16268.018561388659</v>
      </c>
      <c r="AN36" s="39">
        <f t="shared" si="9"/>
        <v>17194.132686194018</v>
      </c>
      <c r="AO36" s="39">
        <f t="shared" si="9"/>
        <v>18141.679716277693</v>
      </c>
      <c r="AP36" s="39">
        <f t="shared" si="9"/>
        <v>19112.852936711966</v>
      </c>
      <c r="AQ36" s="39">
        <f t="shared" si="9"/>
        <v>20105.265051214588</v>
      </c>
      <c r="AR36" s="39">
        <f t="shared" si="9"/>
        <v>21121.130081559993</v>
      </c>
      <c r="AS36" s="39">
        <f t="shared" si="9"/>
        <v>22160.118990949893</v>
      </c>
      <c r="AT36" s="39">
        <f t="shared" si="9"/>
        <v>23223.456210585813</v>
      </c>
      <c r="AU36" s="39">
        <f t="shared" si="9"/>
        <v>24311.209512702524</v>
      </c>
      <c r="AV36" s="39">
        <f t="shared" si="9"/>
        <v>25424.558082874115</v>
      </c>
      <c r="AW36" s="39">
        <f t="shared" si="9"/>
        <v>26562.547265975234</v>
      </c>
      <c r="AX36" s="39">
        <f t="shared" si="9"/>
        <v>27725.944508886252</v>
      </c>
      <c r="AY36" s="39">
        <f t="shared" si="9"/>
        <v>28916.067423245262</v>
      </c>
    </row>
    <row r="37" spans="1:51" x14ac:dyDescent="0.35">
      <c r="A37" s="27" t="s">
        <v>147</v>
      </c>
      <c r="B37" s="28" t="s">
        <v>81</v>
      </c>
      <c r="C37" s="29">
        <f>AY36</f>
        <v>28916.067423245262</v>
      </c>
      <c r="D37" s="29">
        <f>D36</f>
        <v>410</v>
      </c>
      <c r="E37" s="29">
        <f t="shared" ref="E37:AY37" si="10">E36-D36</f>
        <v>5.4666666666668107</v>
      </c>
      <c r="F37" s="29">
        <f t="shared" si="10"/>
        <v>5.5395555555554665</v>
      </c>
      <c r="G37" s="29">
        <f t="shared" si="10"/>
        <v>5.6134162962964638</v>
      </c>
      <c r="H37" s="29">
        <f t="shared" si="10"/>
        <v>5.6882618469135195</v>
      </c>
      <c r="I37" s="29">
        <f t="shared" si="10"/>
        <v>5.7641053382058089</v>
      </c>
      <c r="J37" s="29">
        <f t="shared" si="10"/>
        <v>5.8409600760485318</v>
      </c>
      <c r="K37" s="29">
        <f t="shared" si="10"/>
        <v>5.9188395437290637</v>
      </c>
      <c r="L37" s="29">
        <f t="shared" si="10"/>
        <v>5.9977574043124378</v>
      </c>
      <c r="M37" s="29">
        <f t="shared" si="10"/>
        <v>6.0777275030363853</v>
      </c>
      <c r="N37" s="29">
        <f t="shared" si="10"/>
        <v>6.1587638697435523</v>
      </c>
      <c r="O37" s="29">
        <f t="shared" si="10"/>
        <v>6.2408807213402042</v>
      </c>
      <c r="P37" s="29">
        <f t="shared" si="10"/>
        <v>474.82657161748489</v>
      </c>
      <c r="Q37" s="29">
        <f t="shared" si="10"/>
        <v>486.65840920907749</v>
      </c>
      <c r="R37" s="29">
        <f t="shared" si="10"/>
        <v>500.22306013555135</v>
      </c>
      <c r="S37" s="29">
        <f t="shared" si="10"/>
        <v>512.26368180210579</v>
      </c>
      <c r="T37" s="29">
        <f t="shared" si="10"/>
        <v>526.63718635817941</v>
      </c>
      <c r="U37" s="29">
        <f t="shared" si="10"/>
        <v>539.45912890109594</v>
      </c>
      <c r="V37" s="29">
        <f t="shared" si="10"/>
        <v>554.11278418110032</v>
      </c>
      <c r="W37" s="29">
        <f t="shared" si="10"/>
        <v>567.45676885003013</v>
      </c>
      <c r="X37" s="29">
        <f t="shared" si="10"/>
        <v>582.6840088228837</v>
      </c>
      <c r="Y37" s="29">
        <f t="shared" si="10"/>
        <v>596.56882367746766</v>
      </c>
      <c r="Z37" s="29">
        <f t="shared" si="10"/>
        <v>612.08542201147156</v>
      </c>
      <c r="AA37" s="29">
        <f t="shared" si="10"/>
        <v>626.83088981413948</v>
      </c>
      <c r="AB37" s="29">
        <f t="shared" si="10"/>
        <v>669.97813998134916</v>
      </c>
      <c r="AC37" s="29">
        <f t="shared" si="10"/>
        <v>687.46453602157271</v>
      </c>
      <c r="AD37" s="29">
        <f t="shared" si="10"/>
        <v>703.53771645211782</v>
      </c>
      <c r="AE37" s="29">
        <f t="shared" si="10"/>
        <v>720.80333442929077</v>
      </c>
      <c r="AF37" s="29">
        <f t="shared" si="10"/>
        <v>739.31411595928876</v>
      </c>
      <c r="AG37" s="29">
        <f t="shared" si="10"/>
        <v>756.35860368531939</v>
      </c>
      <c r="AH37" s="29">
        <f t="shared" si="10"/>
        <v>774.30963461980718</v>
      </c>
      <c r="AI37" s="29">
        <f t="shared" si="10"/>
        <v>794.2330983306565</v>
      </c>
      <c r="AJ37" s="29">
        <f t="shared" si="10"/>
        <v>812.30116788657324</v>
      </c>
      <c r="AK37" s="29">
        <f t="shared" si="10"/>
        <v>831.66917896804807</v>
      </c>
      <c r="AL37" s="29">
        <f t="shared" si="10"/>
        <v>852.3943370830948</v>
      </c>
      <c r="AM37" s="29">
        <f t="shared" si="10"/>
        <v>871.5410277691044</v>
      </c>
      <c r="AN37" s="29">
        <f t="shared" si="10"/>
        <v>926.1141248053591</v>
      </c>
      <c r="AO37" s="29">
        <f t="shared" si="10"/>
        <v>947.54703008367505</v>
      </c>
      <c r="AP37" s="29">
        <f t="shared" si="10"/>
        <v>971.17322043427339</v>
      </c>
      <c r="AQ37" s="29">
        <f t="shared" si="10"/>
        <v>992.41211450262199</v>
      </c>
      <c r="AR37" s="29">
        <f t="shared" si="10"/>
        <v>1015.8650303454051</v>
      </c>
      <c r="AS37" s="29">
        <f t="shared" si="10"/>
        <v>1038.9889093899001</v>
      </c>
      <c r="AT37" s="29">
        <f t="shared" si="10"/>
        <v>1063.3372196359196</v>
      </c>
      <c r="AU37" s="29">
        <f t="shared" si="10"/>
        <v>1087.753302116711</v>
      </c>
      <c r="AV37" s="29">
        <f t="shared" si="10"/>
        <v>1113.3485701715908</v>
      </c>
      <c r="AW37" s="29">
        <f t="shared" si="10"/>
        <v>1137.9891831011191</v>
      </c>
      <c r="AX37" s="29">
        <f t="shared" si="10"/>
        <v>1163.3972429110181</v>
      </c>
      <c r="AY37" s="29">
        <f t="shared" si="10"/>
        <v>1190.1229143590099</v>
      </c>
    </row>
  </sheetData>
  <mergeCells count="1">
    <mergeCell ref="A1:AY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AY28"/>
  <sheetViews>
    <sheetView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4.5" x14ac:dyDescent="0.35"/>
  <cols>
    <col min="1" max="1" width="38" customWidth="1"/>
    <col min="2" max="2" width="12" customWidth="1"/>
    <col min="3" max="3" width="14" customWidth="1"/>
    <col min="4" max="51" width="10.453125" customWidth="1"/>
  </cols>
  <sheetData>
    <row r="1" spans="1:51" ht="26" customHeight="1" x14ac:dyDescent="0.35">
      <c r="A1" s="97" t="s">
        <v>148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</row>
    <row r="3" spans="1:51" x14ac:dyDescent="0.35">
      <c r="A3" s="17" t="s">
        <v>70</v>
      </c>
      <c r="B3" s="18" t="s">
        <v>71</v>
      </c>
      <c r="C3" s="18" t="s">
        <v>72</v>
      </c>
    </row>
    <row r="4" spans="1:51" x14ac:dyDescent="0.35">
      <c r="A4" s="19"/>
      <c r="B4" s="19"/>
      <c r="C4" s="20" t="s">
        <v>72</v>
      </c>
      <c r="D4" s="21">
        <v>45658</v>
      </c>
      <c r="E4" s="21">
        <v>45689</v>
      </c>
      <c r="F4" s="21">
        <v>45717</v>
      </c>
      <c r="G4" s="21">
        <v>45748</v>
      </c>
      <c r="H4" s="21">
        <v>45778</v>
      </c>
      <c r="I4" s="21">
        <v>45809</v>
      </c>
      <c r="J4" s="21">
        <v>45839</v>
      </c>
      <c r="K4" s="21">
        <v>45870</v>
      </c>
      <c r="L4" s="21">
        <v>45901</v>
      </c>
      <c r="M4" s="21">
        <v>45931</v>
      </c>
      <c r="N4" s="21">
        <v>45962</v>
      </c>
      <c r="O4" s="21">
        <v>45992</v>
      </c>
      <c r="P4" s="22">
        <v>46023</v>
      </c>
      <c r="Q4" s="22">
        <v>46054</v>
      </c>
      <c r="R4" s="22">
        <v>46082</v>
      </c>
      <c r="S4" s="22">
        <v>46113</v>
      </c>
      <c r="T4" s="22">
        <v>46143</v>
      </c>
      <c r="U4" s="22">
        <v>46174</v>
      </c>
      <c r="V4" s="22">
        <v>46204</v>
      </c>
      <c r="W4" s="22">
        <v>46235</v>
      </c>
      <c r="X4" s="22">
        <v>46266</v>
      </c>
      <c r="Y4" s="22">
        <v>46296</v>
      </c>
      <c r="Z4" s="22">
        <v>46327</v>
      </c>
      <c r="AA4" s="22">
        <v>46357</v>
      </c>
      <c r="AB4" s="22">
        <v>46388</v>
      </c>
      <c r="AC4" s="22">
        <v>46419</v>
      </c>
      <c r="AD4" s="22">
        <v>46447</v>
      </c>
      <c r="AE4" s="22">
        <v>46478</v>
      </c>
      <c r="AF4" s="22">
        <v>46508</v>
      </c>
      <c r="AG4" s="22">
        <v>46539</v>
      </c>
      <c r="AH4" s="22">
        <v>46569</v>
      </c>
      <c r="AI4" s="22">
        <v>46600</v>
      </c>
      <c r="AJ4" s="22">
        <v>46631</v>
      </c>
      <c r="AK4" s="22">
        <v>46661</v>
      </c>
      <c r="AL4" s="22">
        <v>46692</v>
      </c>
      <c r="AM4" s="22">
        <v>46722</v>
      </c>
      <c r="AN4" s="22">
        <v>46753</v>
      </c>
      <c r="AO4" s="22">
        <v>46784</v>
      </c>
      <c r="AP4" s="22">
        <v>46813</v>
      </c>
      <c r="AQ4" s="22">
        <v>46844</v>
      </c>
      <c r="AR4" s="22">
        <v>46874</v>
      </c>
      <c r="AS4" s="22">
        <v>46905</v>
      </c>
      <c r="AT4" s="22">
        <v>46935</v>
      </c>
      <c r="AU4" s="22">
        <v>46966</v>
      </c>
      <c r="AV4" s="22">
        <v>46997</v>
      </c>
      <c r="AW4" s="22">
        <v>47027</v>
      </c>
      <c r="AX4" s="22">
        <v>47058</v>
      </c>
      <c r="AY4" s="22">
        <v>47088</v>
      </c>
    </row>
    <row r="5" spans="1:51" x14ac:dyDescent="0.35">
      <c r="A5" s="19"/>
      <c r="B5" s="19"/>
      <c r="C5" s="19"/>
      <c r="D5" s="23">
        <v>1</v>
      </c>
      <c r="E5" s="23">
        <v>2</v>
      </c>
      <c r="F5" s="23">
        <v>3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  <c r="N5" s="23">
        <v>11</v>
      </c>
      <c r="O5" s="23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4">
        <v>24</v>
      </c>
      <c r="AB5" s="24">
        <v>25</v>
      </c>
      <c r="AC5" s="24">
        <v>26</v>
      </c>
      <c r="AD5" s="24">
        <v>27</v>
      </c>
      <c r="AE5" s="24">
        <v>28</v>
      </c>
      <c r="AF5" s="24">
        <v>29</v>
      </c>
      <c r="AG5" s="24">
        <v>30</v>
      </c>
      <c r="AH5" s="24">
        <v>31</v>
      </c>
      <c r="AI5" s="24">
        <v>32</v>
      </c>
      <c r="AJ5" s="24">
        <v>33</v>
      </c>
      <c r="AK5" s="24">
        <v>34</v>
      </c>
      <c r="AL5" s="24">
        <v>35</v>
      </c>
      <c r="AM5" s="24">
        <v>36</v>
      </c>
      <c r="AN5" s="24">
        <v>37</v>
      </c>
      <c r="AO5" s="24">
        <v>38</v>
      </c>
      <c r="AP5" s="24">
        <v>39</v>
      </c>
      <c r="AQ5" s="24">
        <v>40</v>
      </c>
      <c r="AR5" s="24">
        <v>41</v>
      </c>
      <c r="AS5" s="24">
        <v>42</v>
      </c>
      <c r="AT5" s="24">
        <v>43</v>
      </c>
      <c r="AU5" s="24">
        <v>44</v>
      </c>
      <c r="AV5" s="24">
        <v>45</v>
      </c>
      <c r="AW5" s="24">
        <v>46</v>
      </c>
      <c r="AX5" s="24">
        <v>47</v>
      </c>
      <c r="AY5" s="24">
        <v>48</v>
      </c>
    </row>
    <row r="6" spans="1:51" ht="16" customHeight="1" x14ac:dyDescent="0.35">
      <c r="A6" s="56" t="s">
        <v>149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</row>
    <row r="7" spans="1:51" ht="16" customHeight="1" x14ac:dyDescent="0.35">
      <c r="A7" s="58" t="s">
        <v>150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</row>
    <row r="8" spans="1:51" x14ac:dyDescent="0.35">
      <c r="A8" s="27" t="s">
        <v>151</v>
      </c>
      <c r="B8" s="28" t="s">
        <v>81</v>
      </c>
      <c r="C8" s="29">
        <f>AY8</f>
        <v>16000.000000000047</v>
      </c>
      <c r="D8" s="29">
        <f>ДОПУЩЕНИЯ!$D$33-НАСТРОЙКИ!$B$26</f>
        <v>4589.666666666667</v>
      </c>
      <c r="E8" s="29">
        <f>D8+ДОПУЩЕНИЯ!$E$33-НАСТРОЙКИ!$B$26</f>
        <v>8769.3333333333339</v>
      </c>
      <c r="F8" s="29">
        <f>E8+ДОПУЩЕНИЯ!$F$33-НАСТРОЙКИ!$B$26</f>
        <v>12539</v>
      </c>
      <c r="G8" s="29">
        <f>F8+ДОПУЩЕНИЯ!$G$33-НАСТРОЙКИ!$B$26</f>
        <v>15897.666666666666</v>
      </c>
      <c r="H8" s="29">
        <f>G8+ДОПУЩЕНИЯ!$H$33-НАСТРОЙКИ!$B$26</f>
        <v>18846.333333333332</v>
      </c>
      <c r="I8" s="29">
        <f>H8+ДОПУЩЕНИЯ!$I$33-НАСТРОЙКИ!$B$26</f>
        <v>21385</v>
      </c>
      <c r="J8" s="29">
        <f>I8+ДОПУЩЕНИЯ!$J$33-НАСТРОЙКИ!$B$26</f>
        <v>23513.666666666668</v>
      </c>
      <c r="K8" s="29">
        <f>J8+ДОПУЩЕНИЯ!$K$33-НАСТРОЙКИ!$B$26</f>
        <v>25231.333333333336</v>
      </c>
      <c r="L8" s="29">
        <f>K8+ДОПУЩЕНИЯ!$L$33-НАСТРОЙКИ!$B$26</f>
        <v>26539.000000000004</v>
      </c>
      <c r="M8" s="29">
        <f>L8+ДОПУЩЕНИЯ!$M$33-НАСТРОЙКИ!$B$26</f>
        <v>27436.666666666672</v>
      </c>
      <c r="N8" s="29">
        <f>M8+ДОПУЩЕНИЯ!$N$33-НАСТРОЙКИ!$B$26</f>
        <v>27924.333333333339</v>
      </c>
      <c r="O8" s="29">
        <f>N8+ДОПУЩЕНИЯ!$O$33-НАСТРОЙКИ!$B$26</f>
        <v>28000.000000000007</v>
      </c>
      <c r="P8" s="29">
        <f>O8+ДОПУЩЕНИЯ!$P$33-НАСТРОЙКИ!$B$26</f>
        <v>27666.666666666675</v>
      </c>
      <c r="Q8" s="29">
        <f>P8+ДОПУЩЕНИЯ!$Q$33-НАСТРОЙКИ!$B$26</f>
        <v>27333.333333333343</v>
      </c>
      <c r="R8" s="29">
        <f>Q8+ДОПУЩЕНИЯ!$R$33-НАСТРОЙКИ!$B$26</f>
        <v>27000.000000000011</v>
      </c>
      <c r="S8" s="29">
        <f>R8+ДОПУЩЕНИЯ!$S$33-НАСТРОЙКИ!$B$26</f>
        <v>26666.666666666679</v>
      </c>
      <c r="T8" s="29">
        <f>S8+ДОПУЩЕНИЯ!$T$33-НАСТРОЙКИ!$B$26</f>
        <v>26333.333333333347</v>
      </c>
      <c r="U8" s="29">
        <f>T8+ДОПУЩЕНИЯ!$U$33-НАСТРОЙКИ!$B$26</f>
        <v>26000.000000000015</v>
      </c>
      <c r="V8" s="29">
        <f>U8+ДОПУЩЕНИЯ!$V$33-НАСТРОЙКИ!$B$26</f>
        <v>25666.666666666682</v>
      </c>
      <c r="W8" s="29">
        <f>V8+ДОПУЩЕНИЯ!$W$33-НАСТРОЙКИ!$B$26</f>
        <v>25333.33333333335</v>
      </c>
      <c r="X8" s="29">
        <f>W8+ДОПУЩЕНИЯ!$X$33-НАСТРОЙКИ!$B$26</f>
        <v>25000.000000000018</v>
      </c>
      <c r="Y8" s="29">
        <f>X8+ДОПУЩЕНИЯ!$Y$33-НАСТРОЙКИ!$B$26</f>
        <v>24666.666666666686</v>
      </c>
      <c r="Z8" s="29">
        <f>Y8+ДОПУЩЕНИЯ!$Z$33-НАСТРОЙКИ!$B$26</f>
        <v>24333.333333333354</v>
      </c>
      <c r="AA8" s="29">
        <f>Z8+ДОПУЩЕНИЯ!$AA$33-НАСТРОЙКИ!$B$26</f>
        <v>24000.000000000022</v>
      </c>
      <c r="AB8" s="29">
        <f>AA8+ДОПУЩЕНИЯ!$AB$33-НАСТРОЙКИ!$B$26</f>
        <v>23666.66666666669</v>
      </c>
      <c r="AC8" s="29">
        <f>AB8+ДОПУЩЕНИЯ!$AC$33-НАСТРОЙКИ!$B$26</f>
        <v>23333.333333333358</v>
      </c>
      <c r="AD8" s="29">
        <f>AC8+ДОПУЩЕНИЯ!$AD$33-НАСТРОЙКИ!$B$26</f>
        <v>23000.000000000025</v>
      </c>
      <c r="AE8" s="29">
        <f>AD8+ДОПУЩЕНИЯ!$AE$33-НАСТРОЙКИ!$B$26</f>
        <v>22666.666666666693</v>
      </c>
      <c r="AF8" s="29">
        <f>AE8+ДОПУЩЕНИЯ!$AF$33-НАСТРОЙКИ!$B$26</f>
        <v>22333.333333333361</v>
      </c>
      <c r="AG8" s="29">
        <f>AF8+ДОПУЩЕНИЯ!$AG$33-НАСТРОЙКИ!$B$26</f>
        <v>22000.000000000029</v>
      </c>
      <c r="AH8" s="29">
        <f>AG8+ДОПУЩЕНИЯ!$AH$33-НАСТРОЙКИ!$B$26</f>
        <v>21666.666666666697</v>
      </c>
      <c r="AI8" s="29">
        <f>AH8+ДОПУЩЕНИЯ!$AI$33-НАСТРОЙКИ!$B$26</f>
        <v>21333.333333333365</v>
      </c>
      <c r="AJ8" s="29">
        <f>AI8+ДОПУЩЕНИЯ!$AJ$33-НАСТРОЙКИ!$B$26</f>
        <v>21000.000000000033</v>
      </c>
      <c r="AK8" s="29">
        <f>AJ8+ДОПУЩЕНИЯ!$AK$33-НАСТРОЙКИ!$B$26</f>
        <v>20666.666666666701</v>
      </c>
      <c r="AL8" s="29">
        <f>AK8+ДОПУЩЕНИЯ!$AL$33-НАСТРОЙКИ!$B$26</f>
        <v>20333.333333333369</v>
      </c>
      <c r="AM8" s="29">
        <f>AL8+ДОПУЩЕНИЯ!$AM$33-НАСТРОЙКИ!$B$26</f>
        <v>20000.000000000036</v>
      </c>
      <c r="AN8" s="29">
        <f>AM8+ДОПУЩЕНИЯ!$AN$33-НАСТРОЙКИ!$B$26</f>
        <v>19666.666666666704</v>
      </c>
      <c r="AO8" s="29">
        <f>AN8+ДОПУЩЕНИЯ!$AO$33-НАСТРОЙКИ!$B$26</f>
        <v>19333.333333333372</v>
      </c>
      <c r="AP8" s="29">
        <f>AO8+ДОПУЩЕНИЯ!$AP$33-НАСТРОЙКИ!$B$26</f>
        <v>19000.00000000004</v>
      </c>
      <c r="AQ8" s="29">
        <f>AP8+ДОПУЩЕНИЯ!$AQ$33-НАСТРОЙКИ!$B$26</f>
        <v>18666.666666666708</v>
      </c>
      <c r="AR8" s="29">
        <f>AQ8+ДОПУЩЕНИЯ!$AR$33-НАСТРОЙКИ!$B$26</f>
        <v>18333.333333333376</v>
      </c>
      <c r="AS8" s="29">
        <f>AR8+ДОПУЩЕНИЯ!$AS$33-НАСТРОЙКИ!$B$26</f>
        <v>18000.000000000044</v>
      </c>
      <c r="AT8" s="29">
        <f>AS8+ДОПУЩЕНИЯ!$AT$33-НАСТРОЙКИ!$B$26</f>
        <v>17666.666666666712</v>
      </c>
      <c r="AU8" s="29">
        <f>AT8+ДОПУЩЕНИЯ!$AU$33-НАСТРОЙКИ!$B$26</f>
        <v>17333.333333333379</v>
      </c>
      <c r="AV8" s="29">
        <f>AU8+ДОПУЩЕНИЯ!$AV$33-НАСТРОЙКИ!$B$26</f>
        <v>17000.000000000047</v>
      </c>
      <c r="AW8" s="29">
        <f>AV8+ДОПУЩЕНИЯ!$AW$33-НАСТРОЙКИ!$B$26</f>
        <v>16666.666666666715</v>
      </c>
      <c r="AX8" s="29">
        <f>AW8+ДОПУЩЕНИЯ!$AX$33-НАСТРОЙКИ!$B$26</f>
        <v>16333.333333333381</v>
      </c>
      <c r="AY8" s="29">
        <f>AX8+ДОПУЩЕНИЯ!$AY$33-НАСТРОЙКИ!$B$26</f>
        <v>16000.000000000047</v>
      </c>
    </row>
    <row r="9" spans="1:51" x14ac:dyDescent="0.35">
      <c r="A9" s="37" t="s">
        <v>152</v>
      </c>
      <c r="B9" s="38" t="s">
        <v>81</v>
      </c>
      <c r="C9" s="39">
        <f>AY9</f>
        <v>16000.000000000047</v>
      </c>
      <c r="D9" s="39">
        <f t="shared" ref="D9:AY9" si="0">D8</f>
        <v>4589.666666666667</v>
      </c>
      <c r="E9" s="39">
        <f t="shared" si="0"/>
        <v>8769.3333333333339</v>
      </c>
      <c r="F9" s="39">
        <f t="shared" si="0"/>
        <v>12539</v>
      </c>
      <c r="G9" s="39">
        <f t="shared" si="0"/>
        <v>15897.666666666666</v>
      </c>
      <c r="H9" s="39">
        <f t="shared" si="0"/>
        <v>18846.333333333332</v>
      </c>
      <c r="I9" s="39">
        <f t="shared" si="0"/>
        <v>21385</v>
      </c>
      <c r="J9" s="39">
        <f t="shared" si="0"/>
        <v>23513.666666666668</v>
      </c>
      <c r="K9" s="39">
        <f t="shared" si="0"/>
        <v>25231.333333333336</v>
      </c>
      <c r="L9" s="39">
        <f t="shared" si="0"/>
        <v>26539.000000000004</v>
      </c>
      <c r="M9" s="39">
        <f t="shared" si="0"/>
        <v>27436.666666666672</v>
      </c>
      <c r="N9" s="39">
        <f t="shared" si="0"/>
        <v>27924.333333333339</v>
      </c>
      <c r="O9" s="39">
        <f t="shared" si="0"/>
        <v>28000.000000000007</v>
      </c>
      <c r="P9" s="39">
        <f t="shared" si="0"/>
        <v>27666.666666666675</v>
      </c>
      <c r="Q9" s="39">
        <f t="shared" si="0"/>
        <v>27333.333333333343</v>
      </c>
      <c r="R9" s="39">
        <f t="shared" si="0"/>
        <v>27000.000000000011</v>
      </c>
      <c r="S9" s="39">
        <f t="shared" si="0"/>
        <v>26666.666666666679</v>
      </c>
      <c r="T9" s="39">
        <f t="shared" si="0"/>
        <v>26333.333333333347</v>
      </c>
      <c r="U9" s="39">
        <f t="shared" si="0"/>
        <v>26000.000000000015</v>
      </c>
      <c r="V9" s="39">
        <f t="shared" si="0"/>
        <v>25666.666666666682</v>
      </c>
      <c r="W9" s="39">
        <f t="shared" si="0"/>
        <v>25333.33333333335</v>
      </c>
      <c r="X9" s="39">
        <f t="shared" si="0"/>
        <v>25000.000000000018</v>
      </c>
      <c r="Y9" s="39">
        <f t="shared" si="0"/>
        <v>24666.666666666686</v>
      </c>
      <c r="Z9" s="39">
        <f t="shared" si="0"/>
        <v>24333.333333333354</v>
      </c>
      <c r="AA9" s="39">
        <f t="shared" si="0"/>
        <v>24000.000000000022</v>
      </c>
      <c r="AB9" s="39">
        <f t="shared" si="0"/>
        <v>23666.66666666669</v>
      </c>
      <c r="AC9" s="39">
        <f t="shared" si="0"/>
        <v>23333.333333333358</v>
      </c>
      <c r="AD9" s="39">
        <f t="shared" si="0"/>
        <v>23000.000000000025</v>
      </c>
      <c r="AE9" s="39">
        <f t="shared" si="0"/>
        <v>22666.666666666693</v>
      </c>
      <c r="AF9" s="39">
        <f t="shared" si="0"/>
        <v>22333.333333333361</v>
      </c>
      <c r="AG9" s="39">
        <f t="shared" si="0"/>
        <v>22000.000000000029</v>
      </c>
      <c r="AH9" s="39">
        <f t="shared" si="0"/>
        <v>21666.666666666697</v>
      </c>
      <c r="AI9" s="39">
        <f t="shared" si="0"/>
        <v>21333.333333333365</v>
      </c>
      <c r="AJ9" s="39">
        <f t="shared" si="0"/>
        <v>21000.000000000033</v>
      </c>
      <c r="AK9" s="39">
        <f t="shared" si="0"/>
        <v>20666.666666666701</v>
      </c>
      <c r="AL9" s="39">
        <f t="shared" si="0"/>
        <v>20333.333333333369</v>
      </c>
      <c r="AM9" s="39">
        <f t="shared" si="0"/>
        <v>20000.000000000036</v>
      </c>
      <c r="AN9" s="39">
        <f t="shared" si="0"/>
        <v>19666.666666666704</v>
      </c>
      <c r="AO9" s="39">
        <f t="shared" si="0"/>
        <v>19333.333333333372</v>
      </c>
      <c r="AP9" s="39">
        <f t="shared" si="0"/>
        <v>19000.00000000004</v>
      </c>
      <c r="AQ9" s="39">
        <f t="shared" si="0"/>
        <v>18666.666666666708</v>
      </c>
      <c r="AR9" s="39">
        <f t="shared" si="0"/>
        <v>18333.333333333376</v>
      </c>
      <c r="AS9" s="39">
        <f t="shared" si="0"/>
        <v>18000.000000000044</v>
      </c>
      <c r="AT9" s="39">
        <f t="shared" si="0"/>
        <v>17666.666666666712</v>
      </c>
      <c r="AU9" s="39">
        <f t="shared" si="0"/>
        <v>17333.333333333379</v>
      </c>
      <c r="AV9" s="39">
        <f t="shared" si="0"/>
        <v>17000.000000000047</v>
      </c>
      <c r="AW9" s="39">
        <f t="shared" si="0"/>
        <v>16666.666666666715</v>
      </c>
      <c r="AX9" s="39">
        <f t="shared" si="0"/>
        <v>16333.333333333381</v>
      </c>
      <c r="AY9" s="39">
        <f t="shared" si="0"/>
        <v>16000.000000000047</v>
      </c>
    </row>
    <row r="10" spans="1:51" ht="16" customHeight="1" x14ac:dyDescent="0.35">
      <c r="A10" s="58" t="s">
        <v>153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</row>
    <row r="11" spans="1:51" x14ac:dyDescent="0.35">
      <c r="A11" s="27" t="s">
        <v>154</v>
      </c>
      <c r="B11" s="28" t="s">
        <v>81</v>
      </c>
      <c r="C11" s="46">
        <f>AY11</f>
        <v>21655.368874588159</v>
      </c>
      <c r="D11" s="46">
        <f>ОДДС!$D$33</f>
        <v>0</v>
      </c>
      <c r="E11" s="46">
        <f>ОДДС!$E$33</f>
        <v>0</v>
      </c>
      <c r="F11" s="46">
        <f>ОДДС!$F$33</f>
        <v>0</v>
      </c>
      <c r="G11" s="46">
        <f>ОДДС!$G$33</f>
        <v>0</v>
      </c>
      <c r="H11" s="46">
        <f>ОДДС!$H$33</f>
        <v>0</v>
      </c>
      <c r="I11" s="46">
        <f>ОДДС!$I$33</f>
        <v>0</v>
      </c>
      <c r="J11" s="46">
        <f>ОДДС!$J$33</f>
        <v>0</v>
      </c>
      <c r="K11" s="46">
        <f>ОДДС!$K$33</f>
        <v>0</v>
      </c>
      <c r="L11" s="46">
        <f>ОДДС!$L$33</f>
        <v>0</v>
      </c>
      <c r="M11" s="46">
        <f>ОДДС!$M$33</f>
        <v>0</v>
      </c>
      <c r="N11" s="46">
        <f>ОДДС!$N$33</f>
        <v>0</v>
      </c>
      <c r="O11" s="46">
        <f>ОДДС!$O$33</f>
        <v>0</v>
      </c>
      <c r="P11" s="46">
        <f>ОДДС!$P$33</f>
        <v>360.38652242553337</v>
      </c>
      <c r="Q11" s="46">
        <f>ОДДС!$Q$33</f>
        <v>729.80959589624797</v>
      </c>
      <c r="R11" s="46">
        <f>ОДДС!$R$33</f>
        <v>1109.6012889135102</v>
      </c>
      <c r="S11" s="46">
        <f>ОДДС!$S$33</f>
        <v>1498.5883949131153</v>
      </c>
      <c r="T11" s="46">
        <f>ОДДС!$T$33</f>
        <v>1898.5645511455718</v>
      </c>
      <c r="U11" s="46">
        <f>ОДДС!$U$33</f>
        <v>2308.3353484802092</v>
      </c>
      <c r="V11" s="46">
        <f>ОДДС!$V$33</f>
        <v>2729.3088848264811</v>
      </c>
      <c r="W11" s="46">
        <f>ОДДС!$W$33</f>
        <v>3160.4767972059708</v>
      </c>
      <c r="X11" s="46">
        <f>ОДДС!$X$33</f>
        <v>3603.2868071773291</v>
      </c>
      <c r="Y11" s="46">
        <f>ОДДС!$Y$33</f>
        <v>4056.7053311818554</v>
      </c>
      <c r="Z11" s="46">
        <f>ОДДС!$Z$33</f>
        <v>4521.9866257769309</v>
      </c>
      <c r="AA11" s="46">
        <f>ОДДС!$AA$33</f>
        <v>4998.536539307006</v>
      </c>
      <c r="AB11" s="46">
        <f>ОДДС!$AB$33</f>
        <v>5508.2016093531374</v>
      </c>
      <c r="AC11" s="46">
        <f>ОДДС!$AC$33</f>
        <v>6031.2417168771708</v>
      </c>
      <c r="AD11" s="46">
        <f>ОДДС!$AD$33</f>
        <v>6566.5687591299275</v>
      </c>
      <c r="AE11" s="46">
        <f>ОДДС!$AE$33</f>
        <v>7115.0989684264223</v>
      </c>
      <c r="AF11" s="46">
        <f>ОДДС!$AF$33</f>
        <v>7677.7891218501563</v>
      </c>
      <c r="AG11" s="46">
        <f>ОДДС!$AG$33</f>
        <v>8253.5102461758797</v>
      </c>
      <c r="AH11" s="46">
        <f>ОДДС!$AH$33</f>
        <v>8842.9586133531411</v>
      </c>
      <c r="AI11" s="46">
        <f>ОДДС!$AI$33</f>
        <v>9447.6503961306516</v>
      </c>
      <c r="AJ11" s="46">
        <f>ОДДС!$AJ$33</f>
        <v>10066.157270559173</v>
      </c>
      <c r="AK11" s="46">
        <f>ОДДС!$AK$33</f>
        <v>10699.47807934648</v>
      </c>
      <c r="AL11" s="46">
        <f>ОДДС!$AL$33</f>
        <v>11348.655654606437</v>
      </c>
      <c r="AM11" s="46">
        <f>ОДДС!$AM$33</f>
        <v>12012.474648453122</v>
      </c>
      <c r="AN11" s="46">
        <f>ОДДС!$AN$33</f>
        <v>12718.184985294169</v>
      </c>
      <c r="AO11" s="46">
        <f>ОДДС!$AO$33</f>
        <v>13440.293037098927</v>
      </c>
      <c r="AP11" s="46">
        <f>ОДДС!$AP$33</f>
        <v>14180.484757760687</v>
      </c>
      <c r="AQ11" s="46">
        <f>ОДДС!$AQ$33</f>
        <v>14936.922561207595</v>
      </c>
      <c r="AR11" s="46">
        <f>ОДДС!$AR$33</f>
        <v>15711.308320738473</v>
      </c>
      <c r="AS11" s="46">
        <f>ОДДС!$AS$33</f>
        <v>16503.387694478399</v>
      </c>
      <c r="AT11" s="46">
        <f>ОДДС!$AT$33</f>
        <v>17314.101299448306</v>
      </c>
      <c r="AU11" s="46">
        <f>ОДДС!$AU$33</f>
        <v>18143.499998293952</v>
      </c>
      <c r="AV11" s="46">
        <f>ОДДС!$AV$33</f>
        <v>18992.489570067788</v>
      </c>
      <c r="AW11" s="46">
        <f>ОДДС!$AW$33</f>
        <v>19860.334360742636</v>
      </c>
      <c r="AX11" s="46">
        <f>ОДДС!$AX$33</f>
        <v>20747.623392756137</v>
      </c>
      <c r="AY11" s="46">
        <f>ОДДС!$AY$33</f>
        <v>21655.368874588159</v>
      </c>
    </row>
    <row r="12" spans="1:51" x14ac:dyDescent="0.35">
      <c r="A12" s="27" t="s">
        <v>155</v>
      </c>
      <c r="B12" s="28" t="s">
        <v>81</v>
      </c>
      <c r="C12" s="46">
        <f>AY12</f>
        <v>21782.095645971294</v>
      </c>
      <c r="D12" s="46">
        <f>ОДДС!$D$34</f>
        <v>1230</v>
      </c>
      <c r="E12" s="46">
        <f>ОДДС!$E$34</f>
        <v>1246.4000000000001</v>
      </c>
      <c r="F12" s="46">
        <f>ОДДС!$F$34</f>
        <v>1263.0186666666668</v>
      </c>
      <c r="G12" s="46">
        <f>ОДДС!$G$34</f>
        <v>1279.858915555556</v>
      </c>
      <c r="H12" s="46">
        <f>ОДДС!$H$34</f>
        <v>1296.9237010962968</v>
      </c>
      <c r="I12" s="46">
        <f>ОДДС!$I$34</f>
        <v>1314.2160171109142</v>
      </c>
      <c r="J12" s="46">
        <f>ОДДС!$J$34</f>
        <v>1331.7388973390598</v>
      </c>
      <c r="K12" s="46">
        <f>ОДДС!$K$34</f>
        <v>1349.4954159702472</v>
      </c>
      <c r="L12" s="46">
        <f>ОДДС!$L$34</f>
        <v>1367.4886881831842</v>
      </c>
      <c r="M12" s="46">
        <f>ОДДС!$M$34</f>
        <v>1385.7218706922934</v>
      </c>
      <c r="N12" s="46">
        <f>ОДДС!$N$34</f>
        <v>1404.198162301524</v>
      </c>
      <c r="O12" s="46">
        <f>ОДДС!$O$34</f>
        <v>1422.9208044655445</v>
      </c>
      <c r="P12" s="46">
        <f>ОДДС!$P$34</f>
        <v>1766.2409520413987</v>
      </c>
      <c r="Q12" s="46">
        <f>ОДДС!$Q$34</f>
        <v>2117.9469592564874</v>
      </c>
      <c r="R12" s="46">
        <f>ОДДС!$R$34</f>
        <v>2479.2410606113549</v>
      </c>
      <c r="S12" s="46">
        <f>ОДДС!$S$34</f>
        <v>2849.0707880188556</v>
      </c>
      <c r="T12" s="46">
        <f>ОДДС!$T$34</f>
        <v>3229.0538783960274</v>
      </c>
      <c r="U12" s="46">
        <f>ОДДС!$U$34</f>
        <v>3618.1188730954018</v>
      </c>
      <c r="V12" s="46">
        <f>ОДДС!$V$34</f>
        <v>4017.5366165998885</v>
      </c>
      <c r="W12" s="46">
        <f>ОДДС!$W$34</f>
        <v>4426.4031860115101</v>
      </c>
      <c r="X12" s="46">
        <f>ОДДС!$X$34</f>
        <v>4846.0251825660816</v>
      </c>
      <c r="Y12" s="46">
        <f>ОДДС!$Y$34</f>
        <v>5275.4760815849086</v>
      </c>
      <c r="Z12" s="46">
        <f>ОДДС!$Z$34</f>
        <v>5715.8884638340933</v>
      </c>
      <c r="AA12" s="46">
        <f>ОДДС!$AA$34</f>
        <v>6166.7313926862926</v>
      </c>
      <c r="AB12" s="46">
        <f>ОДДС!$AB$34</f>
        <v>6647.6706024919431</v>
      </c>
      <c r="AC12" s="46">
        <f>ОДДС!$AC$34</f>
        <v>7140.9438879845629</v>
      </c>
      <c r="AD12" s="46">
        <f>ОДДС!$AD$34</f>
        <v>7645.5759105826446</v>
      </c>
      <c r="AE12" s="46">
        <f>ОДДС!$AE$34</f>
        <v>8162.3952859810324</v>
      </c>
      <c r="AF12" s="46">
        <f>ОДДС!$AF$34</f>
        <v>8692.2671735876902</v>
      </c>
      <c r="AG12" s="46">
        <f>ОДДС!$AG$34</f>
        <v>9234.1796116664755</v>
      </c>
      <c r="AH12" s="46">
        <f>ОДДС!$AH$34</f>
        <v>9788.7634139941201</v>
      </c>
      <c r="AI12" s="46">
        <f>ОДДС!$AI$34</f>
        <v>10357.387360653565</v>
      </c>
      <c r="AJ12" s="46">
        <f>ОДДС!$AJ$34</f>
        <v>10938.770241027714</v>
      </c>
      <c r="AK12" s="46">
        <f>ОДДС!$AK$34</f>
        <v>11533.815351569949</v>
      </c>
      <c r="AL12" s="46">
        <f>ОДДС!$AL$34</f>
        <v>12143.465637039351</v>
      </c>
      <c r="AM12" s="46">
        <f>ОДДС!$AM$34</f>
        <v>12766.631738806616</v>
      </c>
      <c r="AN12" s="46">
        <f>ОДДС!$AN$34</f>
        <v>13427.843102699542</v>
      </c>
      <c r="AO12" s="46">
        <f>ОДДС!$AO$34</f>
        <v>14104.16003753629</v>
      </c>
      <c r="AP12" s="46">
        <f>ОДДС!$AP$34</f>
        <v>14797.104536853838</v>
      </c>
      <c r="AQ12" s="46">
        <f>ОДДС!$AQ$34</f>
        <v>15505.027470020979</v>
      </c>
      <c r="AR12" s="46">
        <f>ОДДС!$AR$34</f>
        <v>16229.465282464555</v>
      </c>
      <c r="AS12" s="46">
        <f>ОДДС!$AS$34</f>
        <v>16970.193889414488</v>
      </c>
      <c r="AT12" s="46">
        <f>ОДДС!$AT$34</f>
        <v>17728.064733412524</v>
      </c>
      <c r="AU12" s="46">
        <f>ОДДС!$AU$34</f>
        <v>18503.128543225725</v>
      </c>
      <c r="AV12" s="46">
        <f>ОДДС!$AV$34</f>
        <v>19296.205538418992</v>
      </c>
      <c r="AW12" s="46">
        <f>ОДДС!$AW$34</f>
        <v>20106.638715697794</v>
      </c>
      <c r="AX12" s="46">
        <f>ОДДС!$AX$34</f>
        <v>20934.963348390342</v>
      </c>
      <c r="AY12" s="46">
        <f>ОДДС!$AY$34</f>
        <v>21782.095645971294</v>
      </c>
    </row>
    <row r="13" spans="1:51" x14ac:dyDescent="0.35">
      <c r="A13" s="27" t="s">
        <v>156</v>
      </c>
      <c r="B13" s="28" t="s">
        <v>81</v>
      </c>
      <c r="C13" s="46">
        <f>AY13</f>
        <v>27145.543562872899</v>
      </c>
      <c r="D13" s="46">
        <f>ОДДС!$D$23</f>
        <v>51647</v>
      </c>
      <c r="E13" s="46">
        <f>ОДДС!$E$23</f>
        <v>44078.400000000001</v>
      </c>
      <c r="F13" s="46">
        <f>ОДДС!$F$23</f>
        <v>36889.192000000003</v>
      </c>
      <c r="G13" s="46">
        <f>ОДДС!$G$23</f>
        <v>30079.967893333334</v>
      </c>
      <c r="H13" s="46">
        <f>ОДДС!$H$23</f>
        <v>23649.314131911109</v>
      </c>
      <c r="I13" s="46">
        <f>ОДДС!$I$23</f>
        <v>17596.811653669924</v>
      </c>
      <c r="J13" s="46">
        <f>ОДДС!$J$23</f>
        <v>9922.0358090521877</v>
      </c>
      <c r="K13" s="46">
        <f>ОДДС!$K$23</f>
        <v>2657.2229531728826</v>
      </c>
      <c r="L13" s="46">
        <f>ОДДС!$L$23</f>
        <v>-4199.0629630070362</v>
      </c>
      <c r="M13" s="46">
        <f>ОДДС!$M$23</f>
        <v>-10647.263802513799</v>
      </c>
      <c r="N13" s="46">
        <f>ОДДС!$N$23</f>
        <v>-16687.827319880649</v>
      </c>
      <c r="O13" s="46">
        <f>ОДДС!$O$23</f>
        <v>-22319.207239701282</v>
      </c>
      <c r="P13" s="46">
        <f>ОДДС!$P$23</f>
        <v>-27714.759839659815</v>
      </c>
      <c r="Q13" s="46">
        <f>ОДДС!$Q$23</f>
        <v>-32819.708633531263</v>
      </c>
      <c r="R13" s="46">
        <f>ОДДС!$R$23</f>
        <v>-37627.666285096791</v>
      </c>
      <c r="S13" s="46">
        <f>ОДДС!$S$23</f>
        <v>-42129.966980879755</v>
      </c>
      <c r="T13" s="46">
        <f>ОДДС!$T$23</f>
        <v>-46320.322026604023</v>
      </c>
      <c r="U13" s="46">
        <f>ОДДС!$U$23</f>
        <v>-50189.554384848932</v>
      </c>
      <c r="V13" s="46">
        <f>ОДДС!$V$23</f>
        <v>-53730.710117705836</v>
      </c>
      <c r="W13" s="46">
        <f>ОДДС!$W$23</f>
        <v>-56934.536026255759</v>
      </c>
      <c r="X13" s="46">
        <f>ОДДС!$X$23</f>
        <v>-59793.779006646764</v>
      </c>
      <c r="Y13" s="46">
        <f>ОДДС!$Y$23</f>
        <v>-62298.823471747535</v>
      </c>
      <c r="Z13" s="46">
        <f>ОДДС!$Z$23</f>
        <v>-64475.890659010234</v>
      </c>
      <c r="AA13" s="46">
        <f>ОДДС!$AA$23</f>
        <v>-66378.057005929004</v>
      </c>
      <c r="AB13" s="46">
        <f>ОДДС!$AB$23</f>
        <v>-68013.548862779746</v>
      </c>
      <c r="AC13" s="46">
        <f>ОДДС!$AC$23</f>
        <v>-69348.802394284779</v>
      </c>
      <c r="AD13" s="46">
        <f>ОДДС!$AD$23</f>
        <v>-70375.183030477841</v>
      </c>
      <c r="AE13" s="46">
        <f>ОДДС!$AE$23</f>
        <v>-71086.098002916173</v>
      </c>
      <c r="AF13" s="46">
        <f>ОДДС!$AF$23</f>
        <v>-71474.418295470328</v>
      </c>
      <c r="AG13" s="46">
        <f>ОДДС!$AG$23</f>
        <v>-71531.010680394858</v>
      </c>
      <c r="AH13" s="46">
        <f>ОДДС!$AH$23</f>
        <v>-69248.687828789669</v>
      </c>
      <c r="AI13" s="46">
        <f>ОДДС!$AI$23</f>
        <v>-66644.141929974721</v>
      </c>
      <c r="AJ13" s="46">
        <f>ОДДС!$AJ$23</f>
        <v>-63707.380846990309</v>
      </c>
      <c r="AK13" s="46">
        <f>ОДДС!$AK$23</f>
        <v>-60430.953047158444</v>
      </c>
      <c r="AL13" s="46">
        <f>ОДДС!$AL$23</f>
        <v>-56806.822215343207</v>
      </c>
      <c r="AM13" s="46">
        <f>ОДДС!$AM$23</f>
        <v>-52824.777812320841</v>
      </c>
      <c r="AN13" s="46">
        <f>ОДДС!$AN$23</f>
        <v>-48494.686511371248</v>
      </c>
      <c r="AO13" s="46">
        <f>ОДДС!$AO$23</f>
        <v>-43773.697159771924</v>
      </c>
      <c r="AP13" s="46">
        <f>ОДДС!$AP$23</f>
        <v>-38653.250769012782</v>
      </c>
      <c r="AQ13" s="46">
        <f>ОДДС!$AQ$23</f>
        <v>-33121.356170182342</v>
      </c>
      <c r="AR13" s="46">
        <f>ОДДС!$AR$23</f>
        <v>-27169.572478498128</v>
      </c>
      <c r="AS13" s="46">
        <f>ОДДС!$AS$23</f>
        <v>-20787.080452128288</v>
      </c>
      <c r="AT13" s="46">
        <f>ОДДС!$AT$23</f>
        <v>-13964.036525780779</v>
      </c>
      <c r="AU13" s="46">
        <f>ОДДС!$AU$23</f>
        <v>-6689.4156923248393</v>
      </c>
      <c r="AV13" s="46">
        <f>ОДДС!$AV$23</f>
        <v>1047.2516033891916</v>
      </c>
      <c r="AW13" s="46">
        <f>ОДДС!$AW$23</f>
        <v>9258.1045929465345</v>
      </c>
      <c r="AX13" s="46">
        <f>ОДДС!$AX$23</f>
        <v>17953.919340028166</v>
      </c>
      <c r="AY13" s="46">
        <f>ОДДС!$AY$23</f>
        <v>27145.543562872899</v>
      </c>
    </row>
    <row r="14" spans="1:51" x14ac:dyDescent="0.35">
      <c r="A14" s="37" t="s">
        <v>157</v>
      </c>
      <c r="B14" s="38" t="s">
        <v>81</v>
      </c>
      <c r="C14" s="39">
        <f>AY14</f>
        <v>70583.00808343236</v>
      </c>
      <c r="D14" s="39">
        <f t="shared" ref="D14:AY14" si="1">D11+D12+D13</f>
        <v>52877</v>
      </c>
      <c r="E14" s="39">
        <f t="shared" si="1"/>
        <v>45324.800000000003</v>
      </c>
      <c r="F14" s="39">
        <f t="shared" si="1"/>
        <v>38152.210666666666</v>
      </c>
      <c r="G14" s="39">
        <f t="shared" si="1"/>
        <v>31359.826808888891</v>
      </c>
      <c r="H14" s="39">
        <f t="shared" si="1"/>
        <v>24946.237833007406</v>
      </c>
      <c r="I14" s="39">
        <f t="shared" si="1"/>
        <v>18911.027670780837</v>
      </c>
      <c r="J14" s="39">
        <f t="shared" si="1"/>
        <v>11253.774706391247</v>
      </c>
      <c r="K14" s="39">
        <f t="shared" si="1"/>
        <v>4006.7183691431301</v>
      </c>
      <c r="L14" s="39">
        <f t="shared" si="1"/>
        <v>-2831.5742748238517</v>
      </c>
      <c r="M14" s="39">
        <f t="shared" si="1"/>
        <v>-9261.5419318215045</v>
      </c>
      <c r="N14" s="39">
        <f t="shared" si="1"/>
        <v>-15283.629157579126</v>
      </c>
      <c r="O14" s="39">
        <f t="shared" si="1"/>
        <v>-20896.286435235736</v>
      </c>
      <c r="P14" s="39">
        <f t="shared" si="1"/>
        <v>-25588.132365192883</v>
      </c>
      <c r="Q14" s="39">
        <f t="shared" si="1"/>
        <v>-29971.952078378526</v>
      </c>
      <c r="R14" s="39">
        <f t="shared" si="1"/>
        <v>-34038.823935571927</v>
      </c>
      <c r="S14" s="39">
        <f t="shared" si="1"/>
        <v>-37782.307797947782</v>
      </c>
      <c r="T14" s="39">
        <f t="shared" si="1"/>
        <v>-41192.703597062427</v>
      </c>
      <c r="U14" s="39">
        <f t="shared" si="1"/>
        <v>-44263.100163273324</v>
      </c>
      <c r="V14" s="39">
        <f t="shared" si="1"/>
        <v>-46983.864616279468</v>
      </c>
      <c r="W14" s="39">
        <f t="shared" si="1"/>
        <v>-49347.656043038281</v>
      </c>
      <c r="X14" s="39">
        <f t="shared" si="1"/>
        <v>-51344.467016903349</v>
      </c>
      <c r="Y14" s="39">
        <f t="shared" si="1"/>
        <v>-52966.642058980768</v>
      </c>
      <c r="Z14" s="39">
        <f t="shared" si="1"/>
        <v>-54238.015569399213</v>
      </c>
      <c r="AA14" s="39">
        <f t="shared" si="1"/>
        <v>-55212.78907393571</v>
      </c>
      <c r="AB14" s="39">
        <f t="shared" si="1"/>
        <v>-55857.676650934663</v>
      </c>
      <c r="AC14" s="39">
        <f t="shared" si="1"/>
        <v>-56176.616789423046</v>
      </c>
      <c r="AD14" s="39">
        <f t="shared" si="1"/>
        <v>-56163.038360765269</v>
      </c>
      <c r="AE14" s="39">
        <f t="shared" si="1"/>
        <v>-55808.603748508714</v>
      </c>
      <c r="AF14" s="39">
        <f t="shared" si="1"/>
        <v>-55104.362000032481</v>
      </c>
      <c r="AG14" s="39">
        <f t="shared" si="1"/>
        <v>-54043.320822552501</v>
      </c>
      <c r="AH14" s="39">
        <f t="shared" si="1"/>
        <v>-50616.965801442406</v>
      </c>
      <c r="AI14" s="39">
        <f t="shared" si="1"/>
        <v>-46839.104173190506</v>
      </c>
      <c r="AJ14" s="39">
        <f t="shared" si="1"/>
        <v>-42702.453335403421</v>
      </c>
      <c r="AK14" s="39">
        <f t="shared" si="1"/>
        <v>-38197.659616242017</v>
      </c>
      <c r="AL14" s="39">
        <f t="shared" si="1"/>
        <v>-33314.700923697419</v>
      </c>
      <c r="AM14" s="39">
        <f t="shared" si="1"/>
        <v>-28045.671425061104</v>
      </c>
      <c r="AN14" s="39">
        <f t="shared" si="1"/>
        <v>-22348.658423377536</v>
      </c>
      <c r="AO14" s="39">
        <f t="shared" si="1"/>
        <v>-16229.244085136706</v>
      </c>
      <c r="AP14" s="39">
        <f t="shared" si="1"/>
        <v>-9675.6614743982573</v>
      </c>
      <c r="AQ14" s="39">
        <f t="shared" si="1"/>
        <v>-2679.4061389537674</v>
      </c>
      <c r="AR14" s="39">
        <f t="shared" si="1"/>
        <v>4771.2011247049013</v>
      </c>
      <c r="AS14" s="39">
        <f t="shared" si="1"/>
        <v>12686.501131764595</v>
      </c>
      <c r="AT14" s="39">
        <f t="shared" si="1"/>
        <v>21078.129507080048</v>
      </c>
      <c r="AU14" s="39">
        <f t="shared" si="1"/>
        <v>29957.212849194839</v>
      </c>
      <c r="AV14" s="39">
        <f t="shared" si="1"/>
        <v>39335.946711875964</v>
      </c>
      <c r="AW14" s="39">
        <f t="shared" si="1"/>
        <v>49225.077669386963</v>
      </c>
      <c r="AX14" s="39">
        <f t="shared" si="1"/>
        <v>59636.506081174644</v>
      </c>
      <c r="AY14" s="39">
        <f t="shared" si="1"/>
        <v>70583.00808343236</v>
      </c>
    </row>
    <row r="15" spans="1:51" x14ac:dyDescent="0.35">
      <c r="A15" s="47" t="s">
        <v>158</v>
      </c>
      <c r="B15" s="53" t="s">
        <v>81</v>
      </c>
      <c r="C15" s="49">
        <f>AY15</f>
        <v>86583.008083432404</v>
      </c>
      <c r="D15" s="49">
        <f t="shared" ref="D15:AY15" si="2">D9+D14</f>
        <v>57466.666666666664</v>
      </c>
      <c r="E15" s="49">
        <f t="shared" si="2"/>
        <v>54094.133333333339</v>
      </c>
      <c r="F15" s="49">
        <f t="shared" si="2"/>
        <v>50691.210666666666</v>
      </c>
      <c r="G15" s="49">
        <f t="shared" si="2"/>
        <v>47257.493475555559</v>
      </c>
      <c r="H15" s="49">
        <f t="shared" si="2"/>
        <v>43792.571166340742</v>
      </c>
      <c r="I15" s="49">
        <f t="shared" si="2"/>
        <v>40296.027670780837</v>
      </c>
      <c r="J15" s="49">
        <f t="shared" si="2"/>
        <v>34767.441373057911</v>
      </c>
      <c r="K15" s="49">
        <f t="shared" si="2"/>
        <v>29238.051702476467</v>
      </c>
      <c r="L15" s="49">
        <f t="shared" si="2"/>
        <v>23707.425725176152</v>
      </c>
      <c r="M15" s="49">
        <f t="shared" si="2"/>
        <v>18175.124734845165</v>
      </c>
      <c r="N15" s="49">
        <f t="shared" si="2"/>
        <v>12640.704175754214</v>
      </c>
      <c r="O15" s="49">
        <f t="shared" si="2"/>
        <v>7103.7135647642717</v>
      </c>
      <c r="P15" s="49">
        <f t="shared" si="2"/>
        <v>2078.5343014737919</v>
      </c>
      <c r="Q15" s="49">
        <f t="shared" si="2"/>
        <v>-2638.6187450451835</v>
      </c>
      <c r="R15" s="49">
        <f t="shared" si="2"/>
        <v>-7038.8239355719161</v>
      </c>
      <c r="S15" s="49">
        <f t="shared" si="2"/>
        <v>-11115.641131281103</v>
      </c>
      <c r="T15" s="49">
        <f t="shared" si="2"/>
        <v>-14859.370263729081</v>
      </c>
      <c r="U15" s="49">
        <f t="shared" si="2"/>
        <v>-18263.10016327331</v>
      </c>
      <c r="V15" s="49">
        <f t="shared" si="2"/>
        <v>-21317.197949612786</v>
      </c>
      <c r="W15" s="49">
        <f t="shared" si="2"/>
        <v>-24014.322709704931</v>
      </c>
      <c r="X15" s="49">
        <f t="shared" si="2"/>
        <v>-26344.467016903331</v>
      </c>
      <c r="Y15" s="49">
        <f t="shared" si="2"/>
        <v>-28299.975392314082</v>
      </c>
      <c r="Z15" s="49">
        <f t="shared" si="2"/>
        <v>-29904.682236065859</v>
      </c>
      <c r="AA15" s="49">
        <f t="shared" si="2"/>
        <v>-31212.789073935688</v>
      </c>
      <c r="AB15" s="49">
        <f t="shared" si="2"/>
        <v>-32191.009984267974</v>
      </c>
      <c r="AC15" s="49">
        <f t="shared" si="2"/>
        <v>-32843.283456089688</v>
      </c>
      <c r="AD15" s="49">
        <f t="shared" si="2"/>
        <v>-33163.038360765247</v>
      </c>
      <c r="AE15" s="49">
        <f t="shared" si="2"/>
        <v>-33141.937081842021</v>
      </c>
      <c r="AF15" s="49">
        <f t="shared" si="2"/>
        <v>-32771.028666699116</v>
      </c>
      <c r="AG15" s="49">
        <f t="shared" si="2"/>
        <v>-32043.320822552472</v>
      </c>
      <c r="AH15" s="49">
        <f t="shared" si="2"/>
        <v>-28950.299134775709</v>
      </c>
      <c r="AI15" s="49">
        <f t="shared" si="2"/>
        <v>-25505.770839857141</v>
      </c>
      <c r="AJ15" s="49">
        <f t="shared" si="2"/>
        <v>-21702.453335403388</v>
      </c>
      <c r="AK15" s="49">
        <f t="shared" si="2"/>
        <v>-17530.992949575317</v>
      </c>
      <c r="AL15" s="49">
        <f t="shared" si="2"/>
        <v>-12981.367590364051</v>
      </c>
      <c r="AM15" s="49">
        <f t="shared" si="2"/>
        <v>-8045.6714250610676</v>
      </c>
      <c r="AN15" s="49">
        <f t="shared" si="2"/>
        <v>-2681.9917567108314</v>
      </c>
      <c r="AO15" s="49">
        <f t="shared" si="2"/>
        <v>3104.0892481966657</v>
      </c>
      <c r="AP15" s="49">
        <f t="shared" si="2"/>
        <v>9324.3385256017827</v>
      </c>
      <c r="AQ15" s="49">
        <f t="shared" si="2"/>
        <v>15987.260527712941</v>
      </c>
      <c r="AR15" s="49">
        <f t="shared" si="2"/>
        <v>23104.534458038277</v>
      </c>
      <c r="AS15" s="49">
        <f t="shared" si="2"/>
        <v>30686.501131764639</v>
      </c>
      <c r="AT15" s="49">
        <f t="shared" si="2"/>
        <v>38744.796173746756</v>
      </c>
      <c r="AU15" s="49">
        <f t="shared" si="2"/>
        <v>47290.546182528218</v>
      </c>
      <c r="AV15" s="49">
        <f t="shared" si="2"/>
        <v>56335.946711876008</v>
      </c>
      <c r="AW15" s="49">
        <f t="shared" si="2"/>
        <v>65891.744336053671</v>
      </c>
      <c r="AX15" s="49">
        <f t="shared" si="2"/>
        <v>75969.839414508024</v>
      </c>
      <c r="AY15" s="49">
        <f t="shared" si="2"/>
        <v>86583.008083432404</v>
      </c>
    </row>
    <row r="16" spans="1:51" ht="16" customHeight="1" x14ac:dyDescent="0.35">
      <c r="A16" s="56" t="s">
        <v>159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ht="16" customHeight="1" x14ac:dyDescent="0.35">
      <c r="A17" s="58" t="s">
        <v>160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</row>
    <row r="18" spans="1:51" x14ac:dyDescent="0.35">
      <c r="A18" s="27" t="s">
        <v>161</v>
      </c>
      <c r="B18" s="28" t="s">
        <v>81</v>
      </c>
      <c r="C18" s="46">
        <f>AY18</f>
        <v>14521.397097314195</v>
      </c>
      <c r="D18" s="46">
        <f>ОДДС!$D$35</f>
        <v>820</v>
      </c>
      <c r="E18" s="46">
        <f>ОДДС!$E$35</f>
        <v>830.93333333333328</v>
      </c>
      <c r="F18" s="46">
        <f>ОДДС!$F$35</f>
        <v>842.01244444444455</v>
      </c>
      <c r="G18" s="46">
        <f>ОДДС!$G$35</f>
        <v>853.23927703703725</v>
      </c>
      <c r="H18" s="46">
        <f>ОДДС!$H$35</f>
        <v>864.61580073086452</v>
      </c>
      <c r="I18" s="46">
        <f>ОДДС!$I$35</f>
        <v>876.14401140727614</v>
      </c>
      <c r="J18" s="46">
        <f>ОДДС!$J$35</f>
        <v>887.8259315593732</v>
      </c>
      <c r="K18" s="46">
        <f>ОДДС!$K$35</f>
        <v>899.66361064683156</v>
      </c>
      <c r="L18" s="46">
        <f>ОДДС!$L$35</f>
        <v>911.65912545545609</v>
      </c>
      <c r="M18" s="46">
        <f>ОДДС!$M$35</f>
        <v>923.81458046152886</v>
      </c>
      <c r="N18" s="46">
        <f>ОДДС!$N$35</f>
        <v>936.13210820101597</v>
      </c>
      <c r="O18" s="46">
        <f>ОДДС!$O$35</f>
        <v>948.61386964369626</v>
      </c>
      <c r="P18" s="46">
        <f>ОДДС!$P$35</f>
        <v>1177.4939680275991</v>
      </c>
      <c r="Q18" s="46">
        <f>ОДДС!$Q$35</f>
        <v>1411.9646395043249</v>
      </c>
      <c r="R18" s="46">
        <f>ОДДС!$R$35</f>
        <v>1652.8273737409033</v>
      </c>
      <c r="S18" s="46">
        <f>ОДДС!$S$35</f>
        <v>1899.3805253459036</v>
      </c>
      <c r="T18" s="46">
        <f>ОДДС!$T$35</f>
        <v>2152.7025855973516</v>
      </c>
      <c r="U18" s="46">
        <f>ОДДС!$U$35</f>
        <v>2412.0792487302679</v>
      </c>
      <c r="V18" s="46">
        <f>ОДДС!$V$35</f>
        <v>2678.3577443999257</v>
      </c>
      <c r="W18" s="46">
        <f>ОДДС!$W$35</f>
        <v>2950.9354573410069</v>
      </c>
      <c r="X18" s="46">
        <f>ОДДС!$X$35</f>
        <v>3230.6834550440544</v>
      </c>
      <c r="Y18" s="46">
        <f>ОДДС!$Y$35</f>
        <v>3516.984054389939</v>
      </c>
      <c r="Z18" s="46">
        <f>ОДДС!$Z$35</f>
        <v>3810.5923092227285</v>
      </c>
      <c r="AA18" s="46">
        <f>ОДДС!$AA$35</f>
        <v>4111.1542617908617</v>
      </c>
      <c r="AB18" s="46">
        <f>ОДДС!$AB$35</f>
        <v>4431.7804016612954</v>
      </c>
      <c r="AC18" s="46">
        <f>ОДДС!$AC$35</f>
        <v>4760.629258656375</v>
      </c>
      <c r="AD18" s="46">
        <f>ОДДС!$AD$35</f>
        <v>5097.0506070550964</v>
      </c>
      <c r="AE18" s="46">
        <f>ОДДС!$AE$35</f>
        <v>5441.5968573206883</v>
      </c>
      <c r="AF18" s="46">
        <f>ОДДС!$AF$35</f>
        <v>5794.8447823917932</v>
      </c>
      <c r="AG18" s="46">
        <f>ОДДС!$AG$35</f>
        <v>6156.1197411109833</v>
      </c>
      <c r="AH18" s="46">
        <f>ОДДС!$AH$35</f>
        <v>6525.8422759960804</v>
      </c>
      <c r="AI18" s="46">
        <f>ОДДС!$AI$35</f>
        <v>6904.924907102376</v>
      </c>
      <c r="AJ18" s="46">
        <f>ОДДС!$AJ$35</f>
        <v>7292.5134940184753</v>
      </c>
      <c r="AK18" s="46">
        <f>ОДДС!$AK$35</f>
        <v>7689.2102343799661</v>
      </c>
      <c r="AL18" s="46">
        <f>ОДДС!$AL$35</f>
        <v>8095.6437580262336</v>
      </c>
      <c r="AM18" s="46">
        <f>ОДДС!$AM$35</f>
        <v>8511.0878258710782</v>
      </c>
      <c r="AN18" s="46">
        <f>ОДДС!$AN$35</f>
        <v>8951.8954017996948</v>
      </c>
      <c r="AO18" s="46">
        <f>ОДДС!$AO$35</f>
        <v>9402.7733583575264</v>
      </c>
      <c r="AP18" s="46">
        <f>ОДДС!$AP$35</f>
        <v>9864.7363579025587</v>
      </c>
      <c r="AQ18" s="46">
        <f>ОДДС!$AQ$35</f>
        <v>10336.684980013986</v>
      </c>
      <c r="AR18" s="46">
        <f>ОДДС!$AR$35</f>
        <v>10819.643521643036</v>
      </c>
      <c r="AS18" s="46">
        <f>ОДДС!$AS$35</f>
        <v>11313.462592942991</v>
      </c>
      <c r="AT18" s="46">
        <f>ОДДС!$AT$35</f>
        <v>11818.709822275016</v>
      </c>
      <c r="AU18" s="46">
        <f>ОДДС!$AU$35</f>
        <v>12335.41902881715</v>
      </c>
      <c r="AV18" s="46">
        <f>ОДДС!$AV$35</f>
        <v>12864.137025612661</v>
      </c>
      <c r="AW18" s="46">
        <f>ОДДС!$AW$35</f>
        <v>13404.425810465198</v>
      </c>
      <c r="AX18" s="46">
        <f>ОДДС!$AX$35</f>
        <v>13956.642232260227</v>
      </c>
      <c r="AY18" s="46">
        <f>ОДДС!$AY$35</f>
        <v>14521.397097314195</v>
      </c>
    </row>
    <row r="19" spans="1:51" x14ac:dyDescent="0.35">
      <c r="A19" s="27" t="s">
        <v>162</v>
      </c>
      <c r="B19" s="28" t="s">
        <v>81</v>
      </c>
      <c r="C19" s="46">
        <f>AY19</f>
        <v>0</v>
      </c>
      <c r="D19" s="46">
        <f>ОДДС!$D$30</f>
        <v>48000</v>
      </c>
      <c r="E19" s="46">
        <f>ОДДС!$E$30</f>
        <v>48000</v>
      </c>
      <c r="F19" s="46">
        <f>ОДДС!$F$30</f>
        <v>48000</v>
      </c>
      <c r="G19" s="46">
        <f>ОДДС!$G$30</f>
        <v>48000</v>
      </c>
      <c r="H19" s="46">
        <f>ОДДС!$H$30</f>
        <v>48000</v>
      </c>
      <c r="I19" s="46">
        <f>ОДДС!$I$30</f>
        <v>48000</v>
      </c>
      <c r="J19" s="46">
        <f>ОДДС!$J$30</f>
        <v>46000</v>
      </c>
      <c r="K19" s="46">
        <f>ОДДС!$K$30</f>
        <v>44000</v>
      </c>
      <c r="L19" s="46">
        <f>ОДДС!$L$30</f>
        <v>42000</v>
      </c>
      <c r="M19" s="46">
        <f>ОДДС!$M$30</f>
        <v>40000</v>
      </c>
      <c r="N19" s="46">
        <f>ОДДС!$N$30</f>
        <v>38000</v>
      </c>
      <c r="O19" s="46">
        <f>ОДДС!$O$30</f>
        <v>36000</v>
      </c>
      <c r="P19" s="46">
        <f>ОДДС!$P$30</f>
        <v>34000</v>
      </c>
      <c r="Q19" s="46">
        <f>ОДДС!$Q$30</f>
        <v>32000</v>
      </c>
      <c r="R19" s="46">
        <f>ОДДС!$R$30</f>
        <v>30000</v>
      </c>
      <c r="S19" s="46">
        <f>ОДДС!$S$30</f>
        <v>28000</v>
      </c>
      <c r="T19" s="46">
        <f>ОДДС!$T$30</f>
        <v>26000</v>
      </c>
      <c r="U19" s="46">
        <f>ОДДС!$U$30</f>
        <v>24000</v>
      </c>
      <c r="V19" s="46">
        <f>ОДДС!$V$30</f>
        <v>22000</v>
      </c>
      <c r="W19" s="46">
        <f>ОДДС!$W$30</f>
        <v>20000</v>
      </c>
      <c r="X19" s="46">
        <f>ОДДС!$X$30</f>
        <v>18000</v>
      </c>
      <c r="Y19" s="46">
        <f>ОДДС!$Y$30</f>
        <v>16000</v>
      </c>
      <c r="Z19" s="46">
        <f>ОДДС!$Z$30</f>
        <v>14000</v>
      </c>
      <c r="AA19" s="46">
        <f>ОДДС!$AA$30</f>
        <v>12000</v>
      </c>
      <c r="AB19" s="46">
        <f>ОДДС!$AB$30</f>
        <v>10000</v>
      </c>
      <c r="AC19" s="46">
        <f>ОДДС!$AC$30</f>
        <v>8000</v>
      </c>
      <c r="AD19" s="46">
        <f>ОДДС!$AD$30</f>
        <v>6000</v>
      </c>
      <c r="AE19" s="46">
        <f>ОДДС!$AE$30</f>
        <v>4000</v>
      </c>
      <c r="AF19" s="46">
        <f>ОДДС!$AF$30</f>
        <v>2000</v>
      </c>
      <c r="AG19" s="46">
        <f>ОДДС!$AG$30</f>
        <v>0</v>
      </c>
      <c r="AH19" s="46">
        <f>ОДДС!$AH$30</f>
        <v>0</v>
      </c>
      <c r="AI19" s="46">
        <f>ОДДС!$AI$30</f>
        <v>0</v>
      </c>
      <c r="AJ19" s="46">
        <f>ОДДС!$AJ$30</f>
        <v>0</v>
      </c>
      <c r="AK19" s="46">
        <f>ОДДС!$AK$30</f>
        <v>0</v>
      </c>
      <c r="AL19" s="46">
        <f>ОДДС!$AL$30</f>
        <v>0</v>
      </c>
      <c r="AM19" s="46">
        <f>ОДДС!$AM$30</f>
        <v>0</v>
      </c>
      <c r="AN19" s="46">
        <f>ОДДС!$AN$30</f>
        <v>0</v>
      </c>
      <c r="AO19" s="46">
        <f>ОДДС!$AO$30</f>
        <v>0</v>
      </c>
      <c r="AP19" s="46">
        <f>ОДДС!$AP$30</f>
        <v>0</v>
      </c>
      <c r="AQ19" s="46">
        <f>ОДДС!$AQ$30</f>
        <v>0</v>
      </c>
      <c r="AR19" s="46">
        <f>ОДДС!$AR$30</f>
        <v>0</v>
      </c>
      <c r="AS19" s="46">
        <f>ОДДС!$AS$30</f>
        <v>0</v>
      </c>
      <c r="AT19" s="46">
        <f>ОДДС!$AT$30</f>
        <v>0</v>
      </c>
      <c r="AU19" s="46">
        <f>ОДДС!$AU$30</f>
        <v>0</v>
      </c>
      <c r="AV19" s="46">
        <f>ОДДС!$AV$30</f>
        <v>0</v>
      </c>
      <c r="AW19" s="46">
        <f>ОДДС!$AW$30</f>
        <v>0</v>
      </c>
      <c r="AX19" s="46">
        <f>ОДДС!$AX$30</f>
        <v>0</v>
      </c>
      <c r="AY19" s="46">
        <f>ОДДС!$AY$30</f>
        <v>0</v>
      </c>
    </row>
    <row r="20" spans="1:51" x14ac:dyDescent="0.35">
      <c r="A20" s="37" t="s">
        <v>163</v>
      </c>
      <c r="B20" s="38" t="s">
        <v>81</v>
      </c>
      <c r="C20" s="39">
        <f>AY20</f>
        <v>14521.397097314195</v>
      </c>
      <c r="D20" s="39">
        <f t="shared" ref="D20:AY20" si="3">D18+D19</f>
        <v>48820</v>
      </c>
      <c r="E20" s="39">
        <f t="shared" si="3"/>
        <v>48830.933333333334</v>
      </c>
      <c r="F20" s="39">
        <f t="shared" si="3"/>
        <v>48842.012444444445</v>
      </c>
      <c r="G20" s="39">
        <f t="shared" si="3"/>
        <v>48853.239277037035</v>
      </c>
      <c r="H20" s="39">
        <f t="shared" si="3"/>
        <v>48864.615800730862</v>
      </c>
      <c r="I20" s="39">
        <f t="shared" si="3"/>
        <v>48876.144011407276</v>
      </c>
      <c r="J20" s="39">
        <f t="shared" si="3"/>
        <v>46887.825931559375</v>
      </c>
      <c r="K20" s="39">
        <f t="shared" si="3"/>
        <v>44899.663610646829</v>
      </c>
      <c r="L20" s="39">
        <f t="shared" si="3"/>
        <v>42911.659125455459</v>
      </c>
      <c r="M20" s="39">
        <f t="shared" si="3"/>
        <v>40923.814580461527</v>
      </c>
      <c r="N20" s="39">
        <f t="shared" si="3"/>
        <v>38936.132108201018</v>
      </c>
      <c r="O20" s="39">
        <f t="shared" si="3"/>
        <v>36948.613869643697</v>
      </c>
      <c r="P20" s="39">
        <f t="shared" si="3"/>
        <v>35177.4939680276</v>
      </c>
      <c r="Q20" s="39">
        <f t="shared" si="3"/>
        <v>33411.964639504324</v>
      </c>
      <c r="R20" s="39">
        <f t="shared" si="3"/>
        <v>31652.827373740904</v>
      </c>
      <c r="S20" s="39">
        <f t="shared" si="3"/>
        <v>29899.380525345903</v>
      </c>
      <c r="T20" s="39">
        <f t="shared" si="3"/>
        <v>28152.702585597352</v>
      </c>
      <c r="U20" s="39">
        <f t="shared" si="3"/>
        <v>26412.079248730268</v>
      </c>
      <c r="V20" s="39">
        <f t="shared" si="3"/>
        <v>24678.357744399924</v>
      </c>
      <c r="W20" s="39">
        <f t="shared" si="3"/>
        <v>22950.935457341006</v>
      </c>
      <c r="X20" s="39">
        <f t="shared" si="3"/>
        <v>21230.683455044054</v>
      </c>
      <c r="Y20" s="39">
        <f t="shared" si="3"/>
        <v>19516.984054389941</v>
      </c>
      <c r="Z20" s="39">
        <f t="shared" si="3"/>
        <v>17810.592309222728</v>
      </c>
      <c r="AA20" s="39">
        <f t="shared" si="3"/>
        <v>16111.154261790862</v>
      </c>
      <c r="AB20" s="39">
        <f t="shared" si="3"/>
        <v>14431.780401661295</v>
      </c>
      <c r="AC20" s="39">
        <f t="shared" si="3"/>
        <v>12760.629258656376</v>
      </c>
      <c r="AD20" s="39">
        <f t="shared" si="3"/>
        <v>11097.050607055096</v>
      </c>
      <c r="AE20" s="39">
        <f t="shared" si="3"/>
        <v>9441.5968573206883</v>
      </c>
      <c r="AF20" s="39">
        <f t="shared" si="3"/>
        <v>7794.8447823917932</v>
      </c>
      <c r="AG20" s="39">
        <f t="shared" si="3"/>
        <v>6156.1197411109833</v>
      </c>
      <c r="AH20" s="39">
        <f t="shared" si="3"/>
        <v>6525.8422759960804</v>
      </c>
      <c r="AI20" s="39">
        <f t="shared" si="3"/>
        <v>6904.924907102376</v>
      </c>
      <c r="AJ20" s="39">
        <f t="shared" si="3"/>
        <v>7292.5134940184753</v>
      </c>
      <c r="AK20" s="39">
        <f t="shared" si="3"/>
        <v>7689.2102343799661</v>
      </c>
      <c r="AL20" s="39">
        <f t="shared" si="3"/>
        <v>8095.6437580262336</v>
      </c>
      <c r="AM20" s="39">
        <f t="shared" si="3"/>
        <v>8511.0878258710782</v>
      </c>
      <c r="AN20" s="39">
        <f t="shared" si="3"/>
        <v>8951.8954017996948</v>
      </c>
      <c r="AO20" s="39">
        <f t="shared" si="3"/>
        <v>9402.7733583575264</v>
      </c>
      <c r="AP20" s="39">
        <f t="shared" si="3"/>
        <v>9864.7363579025587</v>
      </c>
      <c r="AQ20" s="39">
        <f t="shared" si="3"/>
        <v>10336.684980013986</v>
      </c>
      <c r="AR20" s="39">
        <f t="shared" si="3"/>
        <v>10819.643521643036</v>
      </c>
      <c r="AS20" s="39">
        <f t="shared" si="3"/>
        <v>11313.462592942991</v>
      </c>
      <c r="AT20" s="39">
        <f t="shared" si="3"/>
        <v>11818.709822275016</v>
      </c>
      <c r="AU20" s="39">
        <f t="shared" si="3"/>
        <v>12335.41902881715</v>
      </c>
      <c r="AV20" s="39">
        <f t="shared" si="3"/>
        <v>12864.137025612661</v>
      </c>
      <c r="AW20" s="39">
        <f t="shared" si="3"/>
        <v>13404.425810465198</v>
      </c>
      <c r="AX20" s="39">
        <f t="shared" si="3"/>
        <v>13956.642232260227</v>
      </c>
      <c r="AY20" s="39">
        <f t="shared" si="3"/>
        <v>14521.397097314195</v>
      </c>
    </row>
    <row r="21" spans="1:51" ht="16" customHeight="1" x14ac:dyDescent="0.35">
      <c r="A21" s="58" t="s">
        <v>164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3" spans="1:51" x14ac:dyDescent="0.35">
      <c r="A23" s="27" t="s">
        <v>165</v>
      </c>
      <c r="B23" s="28" t="s">
        <v>81</v>
      </c>
      <c r="C23" s="29">
        <f>НАСТРОЙКИ!$B$16-НАСТРОЙКИ!$B$18</f>
        <v>12000</v>
      </c>
      <c r="D23" s="29">
        <f>НАСТРОЙКИ!$B$16-НАСТРОЙКИ!$B$18</f>
        <v>12000</v>
      </c>
      <c r="E23" s="29">
        <f>НАСТРОЙКИ!$B$16-НАСТРОЙКИ!$B$18</f>
        <v>12000</v>
      </c>
      <c r="F23" s="29">
        <f>НАСТРОЙКИ!$B$16-НАСТРОЙКИ!$B$18</f>
        <v>12000</v>
      </c>
      <c r="G23" s="29">
        <f>НАСТРОЙКИ!$B$16-НАСТРОЙКИ!$B$18</f>
        <v>12000</v>
      </c>
      <c r="H23" s="29">
        <f>НАСТРОЙКИ!$B$16-НАСТРОЙКИ!$B$18</f>
        <v>12000</v>
      </c>
      <c r="I23" s="29">
        <f>НАСТРОЙКИ!$B$16-НАСТРОЙКИ!$B$18</f>
        <v>12000</v>
      </c>
      <c r="J23" s="29">
        <f>НАСТРОЙКИ!$B$16-НАСТРОЙКИ!$B$18</f>
        <v>12000</v>
      </c>
      <c r="K23" s="29">
        <f>НАСТРОЙКИ!$B$16-НАСТРОЙКИ!$B$18</f>
        <v>12000</v>
      </c>
      <c r="L23" s="29">
        <f>НАСТРОЙКИ!$B$16-НАСТРОЙКИ!$B$18</f>
        <v>12000</v>
      </c>
      <c r="M23" s="29">
        <f>НАСТРОЙКИ!$B$16-НАСТРОЙКИ!$B$18</f>
        <v>12000</v>
      </c>
      <c r="N23" s="29">
        <f>НАСТРОЙКИ!$B$16-НАСТРОЙКИ!$B$18</f>
        <v>12000</v>
      </c>
      <c r="O23" s="29">
        <f>НАСТРОЙКИ!$B$16-НАСТРОЙКИ!$B$18</f>
        <v>12000</v>
      </c>
      <c r="P23" s="29">
        <f>НАСТРОЙКИ!$B$16-НАСТРОЙКИ!$B$18</f>
        <v>12000</v>
      </c>
      <c r="Q23" s="29">
        <f>НАСТРОЙКИ!$B$16-НАСТРОЙКИ!$B$18</f>
        <v>12000</v>
      </c>
      <c r="R23" s="29">
        <f>НАСТРОЙКИ!$B$16-НАСТРОЙКИ!$B$18</f>
        <v>12000</v>
      </c>
      <c r="S23" s="29">
        <f>НАСТРОЙКИ!$B$16-НАСТРОЙКИ!$B$18</f>
        <v>12000</v>
      </c>
      <c r="T23" s="29">
        <f>НАСТРОЙКИ!$B$16-НАСТРОЙКИ!$B$18</f>
        <v>12000</v>
      </c>
      <c r="U23" s="29">
        <f>НАСТРОЙКИ!$B$16-НАСТРОЙКИ!$B$18</f>
        <v>12000</v>
      </c>
      <c r="V23" s="29">
        <f>НАСТРОЙКИ!$B$16-НАСТРОЙКИ!$B$18</f>
        <v>12000</v>
      </c>
      <c r="W23" s="29">
        <f>НАСТРОЙКИ!$B$16-НАСТРОЙКИ!$B$18</f>
        <v>12000</v>
      </c>
      <c r="X23" s="29">
        <f>НАСТРОЙКИ!$B$16-НАСТРОЙКИ!$B$18</f>
        <v>12000</v>
      </c>
      <c r="Y23" s="29">
        <f>НАСТРОЙКИ!$B$16-НАСТРОЙКИ!$B$18</f>
        <v>12000</v>
      </c>
      <c r="Z23" s="29">
        <f>НАСТРОЙКИ!$B$16-НАСТРОЙКИ!$B$18</f>
        <v>12000</v>
      </c>
      <c r="AA23" s="29">
        <f>НАСТРОЙКИ!$B$16-НАСТРОЙКИ!$B$18</f>
        <v>12000</v>
      </c>
      <c r="AB23" s="29">
        <f>НАСТРОЙКИ!$B$16-НАСТРОЙКИ!$B$18</f>
        <v>12000</v>
      </c>
      <c r="AC23" s="29">
        <f>НАСТРОЙКИ!$B$16-НАСТРОЙКИ!$B$18</f>
        <v>12000</v>
      </c>
      <c r="AD23" s="29">
        <f>НАСТРОЙКИ!$B$16-НАСТРОЙКИ!$B$18</f>
        <v>12000</v>
      </c>
      <c r="AE23" s="29">
        <f>НАСТРОЙКИ!$B$16-НАСТРОЙКИ!$B$18</f>
        <v>12000</v>
      </c>
      <c r="AF23" s="29">
        <f>НАСТРОЙКИ!$B$16-НАСТРОЙКИ!$B$18</f>
        <v>12000</v>
      </c>
      <c r="AG23" s="29">
        <f>НАСТРОЙКИ!$B$16-НАСТРОЙКИ!$B$18</f>
        <v>12000</v>
      </c>
      <c r="AH23" s="29">
        <f>НАСТРОЙКИ!$B$16-НАСТРОЙКИ!$B$18</f>
        <v>12000</v>
      </c>
      <c r="AI23" s="29">
        <f>НАСТРОЙКИ!$B$16-НАСТРОЙКИ!$B$18</f>
        <v>12000</v>
      </c>
      <c r="AJ23" s="29">
        <f>НАСТРОЙКИ!$B$16-НАСТРОЙКИ!$B$18</f>
        <v>12000</v>
      </c>
      <c r="AK23" s="29">
        <f>НАСТРОЙКИ!$B$16-НАСТРОЙКИ!$B$18</f>
        <v>12000</v>
      </c>
      <c r="AL23" s="29">
        <f>НАСТРОЙКИ!$B$16-НАСТРОЙКИ!$B$18</f>
        <v>12000</v>
      </c>
      <c r="AM23" s="29">
        <f>НАСТРОЙКИ!$B$16-НАСТРОЙКИ!$B$18</f>
        <v>12000</v>
      </c>
      <c r="AN23" s="29">
        <f>НАСТРОЙКИ!$B$16-НАСТРОЙКИ!$B$18</f>
        <v>12000</v>
      </c>
      <c r="AO23" s="29">
        <f>НАСТРОЙКИ!$B$16-НАСТРОЙКИ!$B$18</f>
        <v>12000</v>
      </c>
      <c r="AP23" s="29">
        <f>НАСТРОЙКИ!$B$16-НАСТРОЙКИ!$B$18</f>
        <v>12000</v>
      </c>
      <c r="AQ23" s="29">
        <f>НАСТРОЙКИ!$B$16-НАСТРОЙКИ!$B$18</f>
        <v>12000</v>
      </c>
      <c r="AR23" s="29">
        <f>НАСТРОЙКИ!$B$16-НАСТРОЙКИ!$B$18</f>
        <v>12000</v>
      </c>
      <c r="AS23" s="29">
        <f>НАСТРОЙКИ!$B$16-НАСТРОЙКИ!$B$18</f>
        <v>12000</v>
      </c>
      <c r="AT23" s="29">
        <f>НАСТРОЙКИ!$B$16-НАСТРОЙКИ!$B$18</f>
        <v>12000</v>
      </c>
      <c r="AU23" s="29">
        <f>НАСТРОЙКИ!$B$16-НАСТРОЙКИ!$B$18</f>
        <v>12000</v>
      </c>
      <c r="AV23" s="29">
        <f>НАСТРОЙКИ!$B$16-НАСТРОЙКИ!$B$18</f>
        <v>12000</v>
      </c>
      <c r="AW23" s="29">
        <f>НАСТРОЙКИ!$B$16-НАСТРОЙКИ!$B$18</f>
        <v>12000</v>
      </c>
      <c r="AX23" s="29">
        <f>НАСТРОЙКИ!$B$16-НАСТРОЙКИ!$B$18</f>
        <v>12000</v>
      </c>
      <c r="AY23" s="29">
        <f>НАСТРОЙКИ!$B$16-НАСТРОЙКИ!$B$18</f>
        <v>12000</v>
      </c>
    </row>
    <row r="24" spans="1:51" x14ac:dyDescent="0.35">
      <c r="A24" s="27" t="s">
        <v>166</v>
      </c>
      <c r="B24" s="28" t="s">
        <v>81</v>
      </c>
      <c r="C24" s="29">
        <f>AY24</f>
        <v>60061.610986118176</v>
      </c>
      <c r="D24" s="29">
        <f>'P&amp;L'!$D$30</f>
        <v>-3353.3333333333335</v>
      </c>
      <c r="E24" s="29">
        <f>D24+'P&amp;L'!$E$30</f>
        <v>-6736.8000000000011</v>
      </c>
      <c r="F24" s="29">
        <f>E24+'P&amp;L'!$F$30</f>
        <v>-10150.801777777779</v>
      </c>
      <c r="G24" s="29">
        <f>F24+'P&amp;L'!$G$30</f>
        <v>-13595.745801481484</v>
      </c>
      <c r="H24" s="29">
        <f>G24+'P&amp;L'!$H$30</f>
        <v>-17072.044634390128</v>
      </c>
      <c r="I24" s="29">
        <f>H24+'P&amp;L'!$I$30</f>
        <v>-20580.116340626442</v>
      </c>
      <c r="J24" s="29">
        <f>I24+'P&amp;L'!$J$30</f>
        <v>-24120.384558501464</v>
      </c>
      <c r="K24" s="29">
        <f>J24+'P&amp;L'!$K$30</f>
        <v>-27661.611908170373</v>
      </c>
      <c r="L24" s="29">
        <f>K24+'P&amp;L'!$L$30</f>
        <v>-31204.233400279314</v>
      </c>
      <c r="M24" s="29">
        <f>L24+'P&amp;L'!$M$30</f>
        <v>-34748.689845616376</v>
      </c>
      <c r="N24" s="29">
        <f>M24+'P&amp;L'!$N$30</f>
        <v>-38295.427932446823</v>
      </c>
      <c r="O24" s="29">
        <f>N24+'P&amp;L'!$O$30</f>
        <v>-41844.900304879448</v>
      </c>
      <c r="P24" s="29">
        <f>O24+'P&amp;L'!$P$30</f>
        <v>-45098.959666553827</v>
      </c>
      <c r="Q24" s="29">
        <f>P24+'P&amp;L'!$Q$30</f>
        <v>-48050.583384549529</v>
      </c>
      <c r="R24" s="29">
        <f>Q24+'P&amp;L'!$R$30</f>
        <v>-50691.651309312838</v>
      </c>
      <c r="S24" s="29">
        <f>R24+'P&amp;L'!$S$30</f>
        <v>-53015.021656627032</v>
      </c>
      <c r="T24" s="29">
        <f>S24+'P&amp;L'!$T$30</f>
        <v>-55012.072849326447</v>
      </c>
      <c r="U24" s="29">
        <f>T24+'P&amp;L'!$U$30</f>
        <v>-56675.179412003592</v>
      </c>
      <c r="V24" s="29">
        <f>U24+'P&amp;L'!$V$30</f>
        <v>-57995.555694012728</v>
      </c>
      <c r="W24" s="29">
        <f>V24+'P&amp;L'!$W$30</f>
        <v>-58965.258167045955</v>
      </c>
      <c r="X24" s="29">
        <f>W24+'P&amp;L'!$X$30</f>
        <v>-59575.150471947411</v>
      </c>
      <c r="Y24" s="29">
        <f>X24+'P&amp;L'!$Y$30</f>
        <v>-59816.959446704044</v>
      </c>
      <c r="Z24" s="29">
        <f>Y24+'P&amp;L'!$Z$30</f>
        <v>-59715.274545288608</v>
      </c>
      <c r="AA24" s="29">
        <f>Z24+'P&amp;L'!$AA$30</f>
        <v>-59323.943335726573</v>
      </c>
      <c r="AB24" s="29">
        <f>AA24+'P&amp;L'!$AB$30</f>
        <v>-58622.7903859293</v>
      </c>
      <c r="AC24" s="29">
        <f>AB24+'P&amp;L'!$AC$30</f>
        <v>-57603.912714746104</v>
      </c>
      <c r="AD24" s="29">
        <f>AC24+'P&amp;L'!$AD$30</f>
        <v>-56260.088967820375</v>
      </c>
      <c r="AE24" s="29">
        <f>AD24+'P&amp;L'!$AE$30</f>
        <v>-54583.533939162749</v>
      </c>
      <c r="AF24" s="29">
        <f>AE24+'P&amp;L'!$AF$30</f>
        <v>-52565.873449090948</v>
      </c>
      <c r="AG24" s="29">
        <f>AF24+'P&amp;L'!$AG$30</f>
        <v>-50199.440563663484</v>
      </c>
      <c r="AH24" s="29">
        <f>AG24+'P&amp;L'!$AH$30</f>
        <v>-47476.141410771816</v>
      </c>
      <c r="AI24" s="29">
        <f>AH24+'P&amp;L'!$AI$30</f>
        <v>-44410.695746959544</v>
      </c>
      <c r="AJ24" s="29">
        <f>AI24+'P&amp;L'!$AJ$30</f>
        <v>-40994.966829421894</v>
      </c>
      <c r="AK24" s="29">
        <f>AJ24+'P&amp;L'!$AK$30</f>
        <v>-37220.203183955309</v>
      </c>
      <c r="AL24" s="29">
        <f>AK24+'P&amp;L'!$AL$30</f>
        <v>-33077.011348390311</v>
      </c>
      <c r="AM24" s="29">
        <f>AL24+'P&amp;L'!$AM$30</f>
        <v>-28556.759250932169</v>
      </c>
      <c r="AN24" s="29">
        <f>AM24+'P&amp;L'!$AN$30</f>
        <v>-23633.887158510552</v>
      </c>
      <c r="AO24" s="29">
        <f>AN24+'P&amp;L'!$AO$30</f>
        <v>-18298.684110160884</v>
      </c>
      <c r="AP24" s="29">
        <f>AO24+'P&amp;L'!$AP$30</f>
        <v>-12540.397832300805</v>
      </c>
      <c r="AQ24" s="29">
        <f>AP24+'P&amp;L'!$AQ$30</f>
        <v>-6349.4244523010784</v>
      </c>
      <c r="AR24" s="29">
        <f>AQ24+'P&amp;L'!$AR$30</f>
        <v>284.89093639520797</v>
      </c>
      <c r="AS24" s="29">
        <f>AR24+'P&amp;L'!$AS$30</f>
        <v>7373.0385388216146</v>
      </c>
      <c r="AT24" s="29">
        <f>AS24+'P&amp;L'!$AT$30</f>
        <v>14926.086351471709</v>
      </c>
      <c r="AU24" s="29">
        <f>AT24+'P&amp;L'!$AU$30</f>
        <v>22955.127153711026</v>
      </c>
      <c r="AV24" s="29">
        <f>AU24+'P&amp;L'!$AV$30</f>
        <v>31471.809686263314</v>
      </c>
      <c r="AW24" s="29">
        <f>AV24+'P&amp;L'!$AW$30</f>
        <v>40487.318525588445</v>
      </c>
      <c r="AX24" s="29">
        <f>AW24+'P&amp;L'!$AX$30</f>
        <v>50013.197182247764</v>
      </c>
      <c r="AY24" s="29">
        <f>AX24+'P&amp;L'!$AY$30</f>
        <v>60061.610986118176</v>
      </c>
    </row>
    <row r="25" spans="1:51" x14ac:dyDescent="0.35">
      <c r="A25" s="37" t="s">
        <v>167</v>
      </c>
      <c r="B25" s="38" t="s">
        <v>81</v>
      </c>
      <c r="C25" s="39">
        <f>AY25</f>
        <v>72061.610986118176</v>
      </c>
      <c r="D25" s="39">
        <f t="shared" ref="D25:AY25" si="4">D23+D24</f>
        <v>8646.6666666666661</v>
      </c>
      <c r="E25" s="39">
        <f t="shared" si="4"/>
        <v>5263.1999999999989</v>
      </c>
      <c r="F25" s="39">
        <f t="shared" si="4"/>
        <v>1849.1982222222214</v>
      </c>
      <c r="G25" s="39">
        <f t="shared" si="4"/>
        <v>-1595.7458014814838</v>
      </c>
      <c r="H25" s="39">
        <f t="shared" si="4"/>
        <v>-5072.0446343901276</v>
      </c>
      <c r="I25" s="39">
        <f t="shared" si="4"/>
        <v>-8580.1163406264423</v>
      </c>
      <c r="J25" s="39">
        <f t="shared" si="4"/>
        <v>-12120.384558501464</v>
      </c>
      <c r="K25" s="39">
        <f t="shared" si="4"/>
        <v>-15661.611908170373</v>
      </c>
      <c r="L25" s="39">
        <f t="shared" si="4"/>
        <v>-19204.233400279314</v>
      </c>
      <c r="M25" s="39">
        <f t="shared" si="4"/>
        <v>-22748.689845616376</v>
      </c>
      <c r="N25" s="39">
        <f t="shared" si="4"/>
        <v>-26295.427932446823</v>
      </c>
      <c r="O25" s="39">
        <f t="shared" si="4"/>
        <v>-29844.900304879448</v>
      </c>
      <c r="P25" s="39">
        <f t="shared" si="4"/>
        <v>-33098.959666553827</v>
      </c>
      <c r="Q25" s="39">
        <f t="shared" si="4"/>
        <v>-36050.583384549529</v>
      </c>
      <c r="R25" s="39">
        <f t="shared" si="4"/>
        <v>-38691.651309312838</v>
      </c>
      <c r="S25" s="39">
        <f t="shared" si="4"/>
        <v>-41015.021656627032</v>
      </c>
      <c r="T25" s="39">
        <f t="shared" si="4"/>
        <v>-43012.072849326447</v>
      </c>
      <c r="U25" s="39">
        <f t="shared" si="4"/>
        <v>-44675.179412003592</v>
      </c>
      <c r="V25" s="39">
        <f t="shared" si="4"/>
        <v>-45995.555694012728</v>
      </c>
      <c r="W25" s="39">
        <f t="shared" si="4"/>
        <v>-46965.258167045955</v>
      </c>
      <c r="X25" s="39">
        <f t="shared" si="4"/>
        <v>-47575.150471947411</v>
      </c>
      <c r="Y25" s="39">
        <f t="shared" si="4"/>
        <v>-47816.959446704044</v>
      </c>
      <c r="Z25" s="39">
        <f t="shared" si="4"/>
        <v>-47715.274545288608</v>
      </c>
      <c r="AA25" s="39">
        <f t="shared" si="4"/>
        <v>-47323.943335726573</v>
      </c>
      <c r="AB25" s="39">
        <f t="shared" si="4"/>
        <v>-46622.7903859293</v>
      </c>
      <c r="AC25" s="39">
        <f t="shared" si="4"/>
        <v>-45603.912714746104</v>
      </c>
      <c r="AD25" s="39">
        <f t="shared" si="4"/>
        <v>-44260.088967820375</v>
      </c>
      <c r="AE25" s="39">
        <f t="shared" si="4"/>
        <v>-42583.533939162749</v>
      </c>
      <c r="AF25" s="39">
        <f t="shared" si="4"/>
        <v>-40565.873449090948</v>
      </c>
      <c r="AG25" s="39">
        <f t="shared" si="4"/>
        <v>-38199.440563663484</v>
      </c>
      <c r="AH25" s="39">
        <f t="shared" si="4"/>
        <v>-35476.141410771816</v>
      </c>
      <c r="AI25" s="39">
        <f t="shared" si="4"/>
        <v>-32410.695746959544</v>
      </c>
      <c r="AJ25" s="39">
        <f t="shared" si="4"/>
        <v>-28994.966829421894</v>
      </c>
      <c r="AK25" s="39">
        <f t="shared" si="4"/>
        <v>-25220.203183955309</v>
      </c>
      <c r="AL25" s="39">
        <f t="shared" si="4"/>
        <v>-21077.011348390311</v>
      </c>
      <c r="AM25" s="39">
        <f t="shared" si="4"/>
        <v>-16556.759250932169</v>
      </c>
      <c r="AN25" s="39">
        <f t="shared" si="4"/>
        <v>-11633.887158510552</v>
      </c>
      <c r="AO25" s="39">
        <f t="shared" si="4"/>
        <v>-6298.6841101608843</v>
      </c>
      <c r="AP25" s="39">
        <f t="shared" si="4"/>
        <v>-540.39783230080502</v>
      </c>
      <c r="AQ25" s="39">
        <f t="shared" si="4"/>
        <v>5650.5755476989216</v>
      </c>
      <c r="AR25" s="39">
        <f t="shared" si="4"/>
        <v>12284.890936395208</v>
      </c>
      <c r="AS25" s="39">
        <f t="shared" si="4"/>
        <v>19373.038538821616</v>
      </c>
      <c r="AT25" s="39">
        <f t="shared" si="4"/>
        <v>26926.086351471709</v>
      </c>
      <c r="AU25" s="39">
        <f t="shared" si="4"/>
        <v>34955.12715371103</v>
      </c>
      <c r="AV25" s="39">
        <f t="shared" si="4"/>
        <v>43471.80968626331</v>
      </c>
      <c r="AW25" s="39">
        <f t="shared" si="4"/>
        <v>52487.318525588445</v>
      </c>
      <c r="AX25" s="39">
        <f t="shared" si="4"/>
        <v>62013.197182247764</v>
      </c>
      <c r="AY25" s="39">
        <f t="shared" si="4"/>
        <v>72061.610986118176</v>
      </c>
    </row>
    <row r="27" spans="1:51" x14ac:dyDescent="0.35">
      <c r="A27" s="47" t="s">
        <v>168</v>
      </c>
      <c r="B27" s="53" t="s">
        <v>81</v>
      </c>
      <c r="C27" s="49">
        <f>AY27</f>
        <v>86583.008083432374</v>
      </c>
      <c r="D27" s="49">
        <f t="shared" ref="D27:AY27" si="5">D20+D25</f>
        <v>57466.666666666664</v>
      </c>
      <c r="E27" s="49">
        <f t="shared" si="5"/>
        <v>54094.133333333331</v>
      </c>
      <c r="F27" s="49">
        <f t="shared" si="5"/>
        <v>50691.210666666666</v>
      </c>
      <c r="G27" s="49">
        <f t="shared" si="5"/>
        <v>47257.493475555551</v>
      </c>
      <c r="H27" s="49">
        <f t="shared" si="5"/>
        <v>43792.571166340735</v>
      </c>
      <c r="I27" s="49">
        <f t="shared" si="5"/>
        <v>40296.027670780837</v>
      </c>
      <c r="J27" s="49">
        <f t="shared" si="5"/>
        <v>34767.441373057911</v>
      </c>
      <c r="K27" s="49">
        <f t="shared" si="5"/>
        <v>29238.051702476456</v>
      </c>
      <c r="L27" s="49">
        <f t="shared" si="5"/>
        <v>23707.425725176145</v>
      </c>
      <c r="M27" s="49">
        <f t="shared" si="5"/>
        <v>18175.124734845151</v>
      </c>
      <c r="N27" s="49">
        <f t="shared" si="5"/>
        <v>12640.704175754196</v>
      </c>
      <c r="O27" s="49">
        <f t="shared" si="5"/>
        <v>7103.7135647642499</v>
      </c>
      <c r="P27" s="49">
        <f t="shared" si="5"/>
        <v>2078.5343014737737</v>
      </c>
      <c r="Q27" s="49">
        <f t="shared" si="5"/>
        <v>-2638.6187450452053</v>
      </c>
      <c r="R27" s="49">
        <f t="shared" si="5"/>
        <v>-7038.8239355719343</v>
      </c>
      <c r="S27" s="49">
        <f t="shared" si="5"/>
        <v>-11115.641131281129</v>
      </c>
      <c r="T27" s="49">
        <f t="shared" si="5"/>
        <v>-14859.370263729095</v>
      </c>
      <c r="U27" s="49">
        <f t="shared" si="5"/>
        <v>-18263.100163273324</v>
      </c>
      <c r="V27" s="49">
        <f t="shared" si="5"/>
        <v>-21317.197949612804</v>
      </c>
      <c r="W27" s="49">
        <f t="shared" si="5"/>
        <v>-24014.322709704949</v>
      </c>
      <c r="X27" s="49">
        <f t="shared" si="5"/>
        <v>-26344.467016903356</v>
      </c>
      <c r="Y27" s="49">
        <f t="shared" si="5"/>
        <v>-28299.975392314103</v>
      </c>
      <c r="Z27" s="49">
        <f t="shared" si="5"/>
        <v>-29904.682236065881</v>
      </c>
      <c r="AA27" s="49">
        <f t="shared" si="5"/>
        <v>-31212.78907393571</v>
      </c>
      <c r="AB27" s="49">
        <f t="shared" si="5"/>
        <v>-32191.009984268007</v>
      </c>
      <c r="AC27" s="49">
        <f t="shared" si="5"/>
        <v>-32843.283456089732</v>
      </c>
      <c r="AD27" s="49">
        <f t="shared" si="5"/>
        <v>-33163.038360765277</v>
      </c>
      <c r="AE27" s="49">
        <f t="shared" si="5"/>
        <v>-33141.937081842058</v>
      </c>
      <c r="AF27" s="49">
        <f t="shared" si="5"/>
        <v>-32771.028666699152</v>
      </c>
      <c r="AG27" s="49">
        <f t="shared" si="5"/>
        <v>-32043.320822552501</v>
      </c>
      <c r="AH27" s="49">
        <f t="shared" si="5"/>
        <v>-28950.299134775734</v>
      </c>
      <c r="AI27" s="49">
        <f t="shared" si="5"/>
        <v>-25505.770839857167</v>
      </c>
      <c r="AJ27" s="49">
        <f t="shared" si="5"/>
        <v>-21702.453335403417</v>
      </c>
      <c r="AK27" s="49">
        <f t="shared" si="5"/>
        <v>-17530.992949575342</v>
      </c>
      <c r="AL27" s="49">
        <f t="shared" si="5"/>
        <v>-12981.367590364078</v>
      </c>
      <c r="AM27" s="49">
        <f t="shared" si="5"/>
        <v>-8045.6714250610912</v>
      </c>
      <c r="AN27" s="49">
        <f t="shared" si="5"/>
        <v>-2681.9917567108569</v>
      </c>
      <c r="AO27" s="49">
        <f t="shared" si="5"/>
        <v>3104.0892481966421</v>
      </c>
      <c r="AP27" s="49">
        <f t="shared" si="5"/>
        <v>9324.3385256017536</v>
      </c>
      <c r="AQ27" s="49">
        <f t="shared" si="5"/>
        <v>15987.260527712908</v>
      </c>
      <c r="AR27" s="49">
        <f t="shared" si="5"/>
        <v>23104.534458038244</v>
      </c>
      <c r="AS27" s="49">
        <f t="shared" si="5"/>
        <v>30686.501131764606</v>
      </c>
      <c r="AT27" s="49">
        <f t="shared" si="5"/>
        <v>38744.796173746727</v>
      </c>
      <c r="AU27" s="49">
        <f t="shared" si="5"/>
        <v>47290.546182528182</v>
      </c>
      <c r="AV27" s="49">
        <f t="shared" si="5"/>
        <v>56335.946711875971</v>
      </c>
      <c r="AW27" s="49">
        <f t="shared" si="5"/>
        <v>65891.744336053642</v>
      </c>
      <c r="AX27" s="49">
        <f t="shared" si="5"/>
        <v>75969.839414507995</v>
      </c>
      <c r="AY27" s="49">
        <f t="shared" si="5"/>
        <v>86583.008083432374</v>
      </c>
    </row>
    <row r="28" spans="1:51" x14ac:dyDescent="0.35">
      <c r="A28" s="60" t="s">
        <v>169</v>
      </c>
      <c r="C28" s="61">
        <f>AY28</f>
        <v>0</v>
      </c>
      <c r="D28" s="62">
        <f t="shared" ref="D28:AY28" si="6">D15-D27</f>
        <v>0</v>
      </c>
      <c r="E28" s="62">
        <f t="shared" si="6"/>
        <v>0</v>
      </c>
      <c r="F28" s="62">
        <f t="shared" si="6"/>
        <v>0</v>
      </c>
      <c r="G28" s="62">
        <f t="shared" si="6"/>
        <v>0</v>
      </c>
      <c r="H28" s="62">
        <f t="shared" si="6"/>
        <v>0</v>
      </c>
      <c r="I28" s="62">
        <f t="shared" si="6"/>
        <v>0</v>
      </c>
      <c r="J28" s="62">
        <f t="shared" si="6"/>
        <v>0</v>
      </c>
      <c r="K28" s="62">
        <f t="shared" si="6"/>
        <v>0</v>
      </c>
      <c r="L28" s="62">
        <f t="shared" si="6"/>
        <v>0</v>
      </c>
      <c r="M28" s="62">
        <f t="shared" si="6"/>
        <v>0</v>
      </c>
      <c r="N28" s="62">
        <f t="shared" si="6"/>
        <v>1.8189894035458565E-11</v>
      </c>
      <c r="O28" s="62">
        <f t="shared" si="6"/>
        <v>2.1827872842550278E-11</v>
      </c>
      <c r="P28" s="62">
        <f t="shared" si="6"/>
        <v>1.8189894035458565E-11</v>
      </c>
      <c r="Q28" s="62">
        <f t="shared" si="6"/>
        <v>2.1827872842550278E-11</v>
      </c>
      <c r="R28" s="62">
        <f t="shared" si="6"/>
        <v>1.8189894035458565E-11</v>
      </c>
      <c r="S28" s="62">
        <f t="shared" si="6"/>
        <v>2.5465851649641991E-11</v>
      </c>
      <c r="T28" s="62">
        <f t="shared" si="6"/>
        <v>1.4551915228366852E-11</v>
      </c>
      <c r="U28" s="62">
        <f t="shared" si="6"/>
        <v>0</v>
      </c>
      <c r="V28" s="62">
        <f t="shared" si="6"/>
        <v>0</v>
      </c>
      <c r="W28" s="62">
        <f t="shared" si="6"/>
        <v>0</v>
      </c>
      <c r="X28" s="62">
        <f t="shared" si="6"/>
        <v>0</v>
      </c>
      <c r="Y28" s="62">
        <f t="shared" si="6"/>
        <v>0</v>
      </c>
      <c r="Z28" s="62">
        <f t="shared" si="6"/>
        <v>0</v>
      </c>
      <c r="AA28" s="62">
        <f t="shared" si="6"/>
        <v>0</v>
      </c>
      <c r="AB28" s="62">
        <f t="shared" si="6"/>
        <v>3.2741809263825417E-11</v>
      </c>
      <c r="AC28" s="62">
        <f t="shared" si="6"/>
        <v>0</v>
      </c>
      <c r="AD28" s="62">
        <f t="shared" si="6"/>
        <v>0</v>
      </c>
      <c r="AE28" s="62">
        <f t="shared" si="6"/>
        <v>0</v>
      </c>
      <c r="AF28" s="62">
        <f t="shared" si="6"/>
        <v>0</v>
      </c>
      <c r="AG28" s="62">
        <f t="shared" si="6"/>
        <v>2.9103830456733704E-11</v>
      </c>
      <c r="AH28" s="62">
        <f t="shared" si="6"/>
        <v>0</v>
      </c>
      <c r="AI28" s="62">
        <f t="shared" si="6"/>
        <v>0</v>
      </c>
      <c r="AJ28" s="62">
        <f t="shared" si="6"/>
        <v>2.9103830456733704E-11</v>
      </c>
      <c r="AK28" s="62">
        <f t="shared" si="6"/>
        <v>0</v>
      </c>
      <c r="AL28" s="62">
        <f t="shared" si="6"/>
        <v>2.7284841053187847E-11</v>
      </c>
      <c r="AM28" s="62">
        <f t="shared" si="6"/>
        <v>2.3646862246096134E-11</v>
      </c>
      <c r="AN28" s="62">
        <f t="shared" si="6"/>
        <v>2.5465851649641991E-11</v>
      </c>
      <c r="AO28" s="62">
        <f t="shared" si="6"/>
        <v>2.3646862246096134E-11</v>
      </c>
      <c r="AP28" s="62">
        <f t="shared" si="6"/>
        <v>2.9103830456733704E-11</v>
      </c>
      <c r="AQ28" s="62">
        <f t="shared" si="6"/>
        <v>3.2741809263825417E-11</v>
      </c>
      <c r="AR28" s="62">
        <f t="shared" si="6"/>
        <v>3.2741809263825417E-11</v>
      </c>
      <c r="AS28" s="62">
        <f t="shared" si="6"/>
        <v>3.2741809263825417E-11</v>
      </c>
      <c r="AT28" s="62">
        <f t="shared" si="6"/>
        <v>0</v>
      </c>
      <c r="AU28" s="62">
        <f t="shared" si="6"/>
        <v>0</v>
      </c>
      <c r="AV28" s="62">
        <f t="shared" si="6"/>
        <v>0</v>
      </c>
      <c r="AW28" s="62">
        <f t="shared" si="6"/>
        <v>0</v>
      </c>
      <c r="AX28" s="62">
        <f t="shared" si="6"/>
        <v>0</v>
      </c>
      <c r="AY28" s="62">
        <f t="shared" si="6"/>
        <v>0</v>
      </c>
    </row>
  </sheetData>
  <mergeCells count="1">
    <mergeCell ref="A1:AY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C25"/>
  <sheetViews>
    <sheetView workbookViewId="0"/>
  </sheetViews>
  <sheetFormatPr defaultRowHeight="14.5" x14ac:dyDescent="0.35"/>
  <cols>
    <col min="1" max="1" width="52" customWidth="1"/>
    <col min="2" max="2" width="24" customWidth="1"/>
    <col min="3" max="3" width="46" customWidth="1"/>
  </cols>
  <sheetData>
    <row r="1" spans="1:3" ht="28" customHeight="1" x14ac:dyDescent="0.35">
      <c r="A1" s="98" t="s">
        <v>170</v>
      </c>
      <c r="B1" s="93"/>
      <c r="C1" s="93"/>
    </row>
    <row r="2" spans="1:3" ht="16" customHeight="1" x14ac:dyDescent="0.35">
      <c r="A2" s="4" t="s">
        <v>171</v>
      </c>
      <c r="B2" s="5"/>
      <c r="C2" s="5"/>
    </row>
    <row r="4" spans="1:3" x14ac:dyDescent="0.35">
      <c r="A4" s="6" t="s">
        <v>172</v>
      </c>
      <c r="B4" s="11">
        <v>0.14499999999999999</v>
      </c>
      <c r="C4" s="9" t="s">
        <v>173</v>
      </c>
    </row>
    <row r="5" spans="1:3" x14ac:dyDescent="0.35">
      <c r="A5" s="6" t="s">
        <v>174</v>
      </c>
      <c r="B5" s="11">
        <v>7.0000000000000007E-2</v>
      </c>
      <c r="C5" s="9" t="s">
        <v>175</v>
      </c>
    </row>
    <row r="6" spans="1:3" x14ac:dyDescent="0.35">
      <c r="A6" s="6" t="s">
        <v>176</v>
      </c>
      <c r="B6" s="7">
        <v>0.78</v>
      </c>
      <c r="C6" s="9" t="s">
        <v>177</v>
      </c>
    </row>
    <row r="7" spans="1:3" x14ac:dyDescent="0.35">
      <c r="A7" s="6" t="s">
        <v>16</v>
      </c>
      <c r="B7" s="63">
        <f>НАСТРОЙКИ!$B$12</f>
        <v>0.25</v>
      </c>
      <c r="C7" s="9" t="s">
        <v>178</v>
      </c>
    </row>
    <row r="8" spans="1:3" x14ac:dyDescent="0.35">
      <c r="A8" s="6" t="s">
        <v>179</v>
      </c>
      <c r="B8" s="7">
        <v>1.5</v>
      </c>
      <c r="C8" s="9" t="s">
        <v>180</v>
      </c>
    </row>
    <row r="9" spans="1:3" x14ac:dyDescent="0.35">
      <c r="A9" s="6" t="s">
        <v>181</v>
      </c>
      <c r="B9" s="13">
        <f>B6*(1+(1-B7)*B8)</f>
        <v>1.6575</v>
      </c>
      <c r="C9" s="9" t="s">
        <v>182</v>
      </c>
    </row>
    <row r="10" spans="1:3" x14ac:dyDescent="0.35">
      <c r="A10" s="6" t="s">
        <v>183</v>
      </c>
      <c r="B10" s="11">
        <v>3.7999999999999999E-2</v>
      </c>
      <c r="C10" s="9" t="s">
        <v>184</v>
      </c>
    </row>
    <row r="11" spans="1:3" x14ac:dyDescent="0.35">
      <c r="A11" s="6" t="s">
        <v>185</v>
      </c>
      <c r="B11" s="11">
        <v>0.03</v>
      </c>
      <c r="C11" s="9" t="s">
        <v>186</v>
      </c>
    </row>
    <row r="12" spans="1:3" x14ac:dyDescent="0.35">
      <c r="A12" s="6" t="s">
        <v>187</v>
      </c>
      <c r="B12" s="11">
        <v>2.1999999999999999E-2</v>
      </c>
      <c r="C12" s="9" t="s">
        <v>188</v>
      </c>
    </row>
    <row r="13" spans="1:3" x14ac:dyDescent="0.35">
      <c r="A13" s="6" t="s">
        <v>189</v>
      </c>
      <c r="B13" s="64">
        <f>B4+B9*B5+B10+B11+B12</f>
        <v>0.35102500000000003</v>
      </c>
      <c r="C13" s="9" t="s">
        <v>190</v>
      </c>
    </row>
    <row r="14" spans="1:3" ht="16" customHeight="1" x14ac:dyDescent="0.35">
      <c r="A14" s="4" t="s">
        <v>191</v>
      </c>
      <c r="B14" s="5"/>
      <c r="C14" s="5"/>
    </row>
    <row r="15" spans="1:3" x14ac:dyDescent="0.35">
      <c r="A15" s="6" t="s">
        <v>192</v>
      </c>
      <c r="B15" s="63">
        <f>НАСТРОЙКИ!$B$19</f>
        <v>0.19</v>
      </c>
      <c r="C15" s="9" t="s">
        <v>178</v>
      </c>
    </row>
    <row r="16" spans="1:3" x14ac:dyDescent="0.35">
      <c r="A16" s="6" t="s">
        <v>193</v>
      </c>
      <c r="B16" s="63">
        <f>НАСТРОЙКИ!$B$12</f>
        <v>0.25</v>
      </c>
      <c r="C16" s="9" t="s">
        <v>178</v>
      </c>
    </row>
    <row r="17" spans="1:3" x14ac:dyDescent="0.35">
      <c r="A17" s="6" t="s">
        <v>194</v>
      </c>
      <c r="B17" s="65">
        <f>B15*(1-B16)</f>
        <v>0.14250000000000002</v>
      </c>
      <c r="C17" s="9" t="s">
        <v>195</v>
      </c>
    </row>
    <row r="18" spans="1:3" ht="16" customHeight="1" x14ac:dyDescent="0.35">
      <c r="A18" s="4" t="s">
        <v>196</v>
      </c>
      <c r="B18" s="5"/>
      <c r="C18" s="5"/>
    </row>
    <row r="19" spans="1:3" x14ac:dyDescent="0.35">
      <c r="A19" s="6" t="s">
        <v>197</v>
      </c>
      <c r="B19" s="63">
        <f>1-НАСТРОЙКИ!$B$17</f>
        <v>0.19999999999999996</v>
      </c>
    </row>
    <row r="20" spans="1:3" x14ac:dyDescent="0.35">
      <c r="A20" s="6" t="s">
        <v>198</v>
      </c>
      <c r="B20" s="63">
        <f>НАСТРОЙКИ!$B$17</f>
        <v>0.8</v>
      </c>
    </row>
    <row r="21" spans="1:3" x14ac:dyDescent="0.35">
      <c r="A21" s="6" t="s">
        <v>199</v>
      </c>
      <c r="B21" s="11">
        <v>0.03</v>
      </c>
      <c r="C21" s="9" t="s">
        <v>200</v>
      </c>
    </row>
    <row r="22" spans="1:3" x14ac:dyDescent="0.35">
      <c r="A22" s="6"/>
      <c r="B22" s="7"/>
    </row>
    <row r="23" spans="1:3" ht="16" customHeight="1" x14ac:dyDescent="0.35">
      <c r="A23" s="66" t="s">
        <v>201</v>
      </c>
      <c r="B23" s="67"/>
      <c r="C23" s="67"/>
    </row>
    <row r="24" spans="1:3" ht="15.5" x14ac:dyDescent="0.35">
      <c r="A24" s="6" t="s">
        <v>202</v>
      </c>
      <c r="B24" s="68">
        <f>B13*B19+B17*B20</f>
        <v>0.18420500000000001</v>
      </c>
      <c r="C24" s="9" t="s">
        <v>203</v>
      </c>
    </row>
    <row r="25" spans="1:3" x14ac:dyDescent="0.35">
      <c r="A25" s="6" t="s">
        <v>204</v>
      </c>
      <c r="B25" s="64">
        <f>B24</f>
        <v>0.18420500000000001</v>
      </c>
    </row>
  </sheetData>
  <mergeCells count="1">
    <mergeCell ref="A1:C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AY30"/>
  <sheetViews>
    <sheetView workbookViewId="0">
      <pane xSplit="3" ySplit="5" topLeftCell="D6" activePane="bottomRight" state="frozen"/>
      <selection pane="topRight"/>
      <selection pane="bottomLeft"/>
      <selection pane="bottomRight" sqref="A1:AY1"/>
    </sheetView>
  </sheetViews>
  <sheetFormatPr defaultRowHeight="14.5" x14ac:dyDescent="0.35"/>
  <cols>
    <col min="1" max="1" width="38" customWidth="1"/>
    <col min="2" max="2" width="12" customWidth="1"/>
    <col min="3" max="3" width="14" customWidth="1"/>
    <col min="4" max="51" width="10.453125" customWidth="1"/>
  </cols>
  <sheetData>
    <row r="1" spans="1:51" ht="26" customHeight="1" x14ac:dyDescent="0.35">
      <c r="A1" s="98" t="s">
        <v>205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</row>
    <row r="3" spans="1:51" x14ac:dyDescent="0.35">
      <c r="A3" s="17" t="s">
        <v>70</v>
      </c>
      <c r="B3" s="18" t="s">
        <v>71</v>
      </c>
      <c r="C3" s="18" t="s">
        <v>72</v>
      </c>
    </row>
    <row r="4" spans="1:51" x14ac:dyDescent="0.35">
      <c r="A4" s="19"/>
      <c r="B4" s="19"/>
      <c r="C4" s="20" t="s">
        <v>72</v>
      </c>
      <c r="D4" s="21">
        <v>45658</v>
      </c>
      <c r="E4" s="21">
        <v>45689</v>
      </c>
      <c r="F4" s="21">
        <v>45717</v>
      </c>
      <c r="G4" s="21">
        <v>45748</v>
      </c>
      <c r="H4" s="21">
        <v>45778</v>
      </c>
      <c r="I4" s="21">
        <v>45809</v>
      </c>
      <c r="J4" s="21">
        <v>45839</v>
      </c>
      <c r="K4" s="21">
        <v>45870</v>
      </c>
      <c r="L4" s="21">
        <v>45901</v>
      </c>
      <c r="M4" s="21">
        <v>45931</v>
      </c>
      <c r="N4" s="21">
        <v>45962</v>
      </c>
      <c r="O4" s="21">
        <v>45992</v>
      </c>
      <c r="P4" s="22">
        <v>46023</v>
      </c>
      <c r="Q4" s="22">
        <v>46054</v>
      </c>
      <c r="R4" s="22">
        <v>46082</v>
      </c>
      <c r="S4" s="22">
        <v>46113</v>
      </c>
      <c r="T4" s="22">
        <v>46143</v>
      </c>
      <c r="U4" s="22">
        <v>46174</v>
      </c>
      <c r="V4" s="22">
        <v>46204</v>
      </c>
      <c r="W4" s="22">
        <v>46235</v>
      </c>
      <c r="X4" s="22">
        <v>46266</v>
      </c>
      <c r="Y4" s="22">
        <v>46296</v>
      </c>
      <c r="Z4" s="22">
        <v>46327</v>
      </c>
      <c r="AA4" s="22">
        <v>46357</v>
      </c>
      <c r="AB4" s="22">
        <v>46388</v>
      </c>
      <c r="AC4" s="22">
        <v>46419</v>
      </c>
      <c r="AD4" s="22">
        <v>46447</v>
      </c>
      <c r="AE4" s="22">
        <v>46478</v>
      </c>
      <c r="AF4" s="22">
        <v>46508</v>
      </c>
      <c r="AG4" s="22">
        <v>46539</v>
      </c>
      <c r="AH4" s="22">
        <v>46569</v>
      </c>
      <c r="AI4" s="22">
        <v>46600</v>
      </c>
      <c r="AJ4" s="22">
        <v>46631</v>
      </c>
      <c r="AK4" s="22">
        <v>46661</v>
      </c>
      <c r="AL4" s="22">
        <v>46692</v>
      </c>
      <c r="AM4" s="22">
        <v>46722</v>
      </c>
      <c r="AN4" s="22">
        <v>46753</v>
      </c>
      <c r="AO4" s="22">
        <v>46784</v>
      </c>
      <c r="AP4" s="22">
        <v>46813</v>
      </c>
      <c r="AQ4" s="22">
        <v>46844</v>
      </c>
      <c r="AR4" s="22">
        <v>46874</v>
      </c>
      <c r="AS4" s="22">
        <v>46905</v>
      </c>
      <c r="AT4" s="22">
        <v>46935</v>
      </c>
      <c r="AU4" s="22">
        <v>46966</v>
      </c>
      <c r="AV4" s="22">
        <v>46997</v>
      </c>
      <c r="AW4" s="22">
        <v>47027</v>
      </c>
      <c r="AX4" s="22">
        <v>47058</v>
      </c>
      <c r="AY4" s="22">
        <v>47088</v>
      </c>
    </row>
    <row r="5" spans="1:51" x14ac:dyDescent="0.35">
      <c r="A5" s="19"/>
      <c r="B5" s="19"/>
      <c r="C5" s="19"/>
      <c r="D5" s="23">
        <v>1</v>
      </c>
      <c r="E5" s="23">
        <v>2</v>
      </c>
      <c r="F5" s="23">
        <v>3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  <c r="N5" s="23">
        <v>11</v>
      </c>
      <c r="O5" s="23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4">
        <v>24</v>
      </c>
      <c r="AB5" s="24">
        <v>25</v>
      </c>
      <c r="AC5" s="24">
        <v>26</v>
      </c>
      <c r="AD5" s="24">
        <v>27</v>
      </c>
      <c r="AE5" s="24">
        <v>28</v>
      </c>
      <c r="AF5" s="24">
        <v>29</v>
      </c>
      <c r="AG5" s="24">
        <v>30</v>
      </c>
      <c r="AH5" s="24">
        <v>31</v>
      </c>
      <c r="AI5" s="24">
        <v>32</v>
      </c>
      <c r="AJ5" s="24">
        <v>33</v>
      </c>
      <c r="AK5" s="24">
        <v>34</v>
      </c>
      <c r="AL5" s="24">
        <v>35</v>
      </c>
      <c r="AM5" s="24">
        <v>36</v>
      </c>
      <c r="AN5" s="24">
        <v>37</v>
      </c>
      <c r="AO5" s="24">
        <v>38</v>
      </c>
      <c r="AP5" s="24">
        <v>39</v>
      </c>
      <c r="AQ5" s="24">
        <v>40</v>
      </c>
      <c r="AR5" s="24">
        <v>41</v>
      </c>
      <c r="AS5" s="24">
        <v>42</v>
      </c>
      <c r="AT5" s="24">
        <v>43</v>
      </c>
      <c r="AU5" s="24">
        <v>44</v>
      </c>
      <c r="AV5" s="24">
        <v>45</v>
      </c>
      <c r="AW5" s="24">
        <v>46</v>
      </c>
      <c r="AX5" s="24">
        <v>47</v>
      </c>
      <c r="AY5" s="24">
        <v>48</v>
      </c>
    </row>
    <row r="6" spans="1:51" ht="16" customHeight="1" x14ac:dyDescent="0.35">
      <c r="A6" s="66" t="s">
        <v>206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</row>
    <row r="7" spans="1:51" x14ac:dyDescent="0.35">
      <c r="A7" s="27" t="s">
        <v>207</v>
      </c>
      <c r="B7" s="28" t="s">
        <v>81</v>
      </c>
      <c r="C7" s="46">
        <f>SUM($D$7:$AY$7)</f>
        <v>114081.13446372558</v>
      </c>
      <c r="D7" s="46">
        <f>'P&amp;L'!$D$25</f>
        <v>-2593.3333333333335</v>
      </c>
      <c r="E7" s="46">
        <f>'P&amp;L'!$E$25</f>
        <v>-2623.4666666666672</v>
      </c>
      <c r="F7" s="46">
        <f>'P&amp;L'!$F$25</f>
        <v>-2654.001777777778</v>
      </c>
      <c r="G7" s="46">
        <f>'P&amp;L'!$G$25</f>
        <v>-2684.9440237037047</v>
      </c>
      <c r="H7" s="46">
        <f>'P&amp;L'!$H$25</f>
        <v>-2716.2988329086429</v>
      </c>
      <c r="I7" s="46">
        <f>'P&amp;L'!$I$25</f>
        <v>-2748.0717062363142</v>
      </c>
      <c r="J7" s="46">
        <f>'P&amp;L'!$J$25</f>
        <v>-2780.2682178750206</v>
      </c>
      <c r="K7" s="46">
        <f>'P&amp;L'!$K$25</f>
        <v>-2812.8940163355765</v>
      </c>
      <c r="L7" s="46">
        <f>'P&amp;L'!$L$25</f>
        <v>-2845.954825442273</v>
      </c>
      <c r="M7" s="46">
        <f>'P&amp;L'!$M$25</f>
        <v>-2879.4564453370594</v>
      </c>
      <c r="N7" s="46">
        <f>'P&amp;L'!$N$25</f>
        <v>-2913.4047534971091</v>
      </c>
      <c r="O7" s="46">
        <f>'P&amp;L'!$O$25</f>
        <v>-2947.8057057659594</v>
      </c>
      <c r="P7" s="46">
        <f>'P&amp;L'!$P$25</f>
        <v>-2684.0593616743818</v>
      </c>
      <c r="Q7" s="46">
        <f>'P&amp;L'!$Q$25</f>
        <v>-2413.2903846623717</v>
      </c>
      <c r="R7" s="46">
        <f>'P&amp;L'!$R$25</f>
        <v>-2134.4012580966428</v>
      </c>
      <c r="S7" s="46">
        <f>'P&amp;L'!$S$25</f>
        <v>-1848.3703473141923</v>
      </c>
      <c r="T7" s="46">
        <f>'P&amp;L'!$T$25</f>
        <v>-1553.7178593660849</v>
      </c>
      <c r="U7" s="46">
        <f>'P&amp;L'!$U$25</f>
        <v>-1251.4398960104779</v>
      </c>
      <c r="V7" s="46">
        <f>'P&amp;L'!$V$25</f>
        <v>-940.376282009139</v>
      </c>
      <c r="W7" s="46">
        <f>'P&amp;L'!$W$25</f>
        <v>-621.36913969989359</v>
      </c>
      <c r="X7" s="46">
        <f>'P&amp;L'!$X$25</f>
        <v>-293.22563823478896</v>
      </c>
      <c r="Y7" s="46">
        <f>'P&amp;L'!$Y$25</f>
        <v>43.191025243363754</v>
      </c>
      <c r="Z7" s="46">
        <f>'P&amp;L'!$Z$25</f>
        <v>388.9132018872487</v>
      </c>
      <c r="AA7" s="46">
        <f>'P&amp;L'!$AA$25</f>
        <v>743.44161274938256</v>
      </c>
      <c r="AB7" s="46">
        <f>'P&amp;L'!$AB$25</f>
        <v>1124.8705997296981</v>
      </c>
      <c r="AC7" s="46">
        <f>'P&amp;L'!$AC$25</f>
        <v>1516.836894910932</v>
      </c>
      <c r="AD7" s="46">
        <f>'P&amp;L'!$AD$25</f>
        <v>1918.431662567639</v>
      </c>
      <c r="AE7" s="46">
        <f>'P&amp;L'!$AE$25</f>
        <v>2330.4067048768352</v>
      </c>
      <c r="AF7" s="46">
        <f>'P&amp;L'!$AF$25</f>
        <v>2753.547320095734</v>
      </c>
      <c r="AG7" s="46">
        <f>'P&amp;L'!$AG$25</f>
        <v>3186.9105139032818</v>
      </c>
      <c r="AH7" s="46">
        <f>'P&amp;L'!$AH$25</f>
        <v>3631.0655371888897</v>
      </c>
      <c r="AI7" s="46">
        <f>'P&amp;L'!$AI$25</f>
        <v>4087.2608850830316</v>
      </c>
      <c r="AJ7" s="46">
        <f>'P&amp;L'!$AJ$25</f>
        <v>4554.3052233835342</v>
      </c>
      <c r="AK7" s="46">
        <f>'P&amp;L'!$AK$25</f>
        <v>5033.018193955445</v>
      </c>
      <c r="AL7" s="46">
        <f>'P&amp;L'!$AL$25</f>
        <v>5524.2557807533349</v>
      </c>
      <c r="AM7" s="46">
        <f>'P&amp;L'!$AM$25</f>
        <v>6027.0027966108537</v>
      </c>
      <c r="AN7" s="46">
        <f>'P&amp;L'!$AN$25</f>
        <v>6563.82945656216</v>
      </c>
      <c r="AO7" s="46">
        <f>'P&amp;L'!$AO$25</f>
        <v>7113.6040644662216</v>
      </c>
      <c r="AP7" s="46">
        <f>'P&amp;L'!$AP$25</f>
        <v>7677.7150371467715</v>
      </c>
      <c r="AQ7" s="46">
        <f>'P&amp;L'!$AQ$25</f>
        <v>8254.6311733329694</v>
      </c>
      <c r="AR7" s="46">
        <f>'P&amp;L'!$AR$25</f>
        <v>8845.7538515950491</v>
      </c>
      <c r="AS7" s="46">
        <f>'P&amp;L'!$AS$25</f>
        <v>9450.8634699018749</v>
      </c>
      <c r="AT7" s="46">
        <f>'P&amp;L'!$AT$25</f>
        <v>10070.730416866792</v>
      </c>
      <c r="AU7" s="46">
        <f>'P&amp;L'!$AU$25</f>
        <v>10705.38773631909</v>
      </c>
      <c r="AV7" s="46">
        <f>'P&amp;L'!$AV$25</f>
        <v>11355.576710069718</v>
      </c>
      <c r="AW7" s="46">
        <f>'P&amp;L'!$AW$25</f>
        <v>12020.678452433503</v>
      </c>
      <c r="AX7" s="46">
        <f>'P&amp;L'!$AX$25</f>
        <v>12701.171542212423</v>
      </c>
      <c r="AY7" s="46">
        <f>'P&amp;L'!$AY$25</f>
        <v>13397.885071827213</v>
      </c>
    </row>
    <row r="8" spans="1:51" x14ac:dyDescent="0.35">
      <c r="A8" s="27" t="s">
        <v>208</v>
      </c>
      <c r="B8" s="28" t="s">
        <v>81</v>
      </c>
      <c r="C8" s="29">
        <f>SUM($D$8:$AY$8)</f>
        <v>85560.850847794194</v>
      </c>
      <c r="D8" s="29">
        <f>D7*(1-НАСТРОЙКИ!$B$12)</f>
        <v>-1945</v>
      </c>
      <c r="E8" s="29">
        <f>E7*(1-НАСТРОЙКИ!$B$12)</f>
        <v>-1967.6000000000004</v>
      </c>
      <c r="F8" s="29">
        <f>F7*(1-НАСТРОЙКИ!$B$12)</f>
        <v>-1990.5013333333336</v>
      </c>
      <c r="G8" s="29">
        <f>G7*(1-НАСТРОЙКИ!$B$12)</f>
        <v>-2013.7080177777784</v>
      </c>
      <c r="H8" s="29">
        <f>H7*(1-НАСТРОЙКИ!$B$12)</f>
        <v>-2037.2241246814822</v>
      </c>
      <c r="I8" s="29">
        <f>I7*(1-НАСТРОЙКИ!$B$12)</f>
        <v>-2061.0537796772355</v>
      </c>
      <c r="J8" s="29">
        <f>J7*(1-НАСТРОЙКИ!$B$12)</f>
        <v>-2085.2011634062656</v>
      </c>
      <c r="K8" s="29">
        <f>K7*(1-НАСТРОЙКИ!$B$12)</f>
        <v>-2109.6705122516823</v>
      </c>
      <c r="L8" s="29">
        <f>L7*(1-НАСТРОЙКИ!$B$12)</f>
        <v>-2134.4661190817046</v>
      </c>
      <c r="M8" s="29">
        <f>M7*(1-НАСТРОЙКИ!$B$12)</f>
        <v>-2159.5923340027948</v>
      </c>
      <c r="N8" s="29">
        <f>N7*(1-НАСТРОЙКИ!$B$12)</f>
        <v>-2185.053565122832</v>
      </c>
      <c r="O8" s="29">
        <f>O7*(1-НАСТРОЙКИ!$B$12)</f>
        <v>-2210.8542793244696</v>
      </c>
      <c r="P8" s="29">
        <f>P7*(1-НАСТРОЙКИ!$B$12)</f>
        <v>-2013.0445212557863</v>
      </c>
      <c r="Q8" s="29">
        <f>Q7*(1-НАСТРОЙКИ!$B$12)</f>
        <v>-1809.9677884967787</v>
      </c>
      <c r="R8" s="29">
        <f>R7*(1-НАСТРОЙКИ!$B$12)</f>
        <v>-1600.8009435724821</v>
      </c>
      <c r="S8" s="29">
        <f>S7*(1-НАСТРОЙКИ!$B$12)</f>
        <v>-1386.2777604856442</v>
      </c>
      <c r="T8" s="29">
        <f>T7*(1-НАСТРОЙКИ!$B$12)</f>
        <v>-1165.2883945245637</v>
      </c>
      <c r="U8" s="29">
        <f>U7*(1-НАСТРОЙКИ!$B$12)</f>
        <v>-938.57992200785839</v>
      </c>
      <c r="V8" s="29">
        <f>V7*(1-НАСТРОЙКИ!$B$12)</f>
        <v>-705.28221150685431</v>
      </c>
      <c r="W8" s="29">
        <f>W7*(1-НАСТРОЙКИ!$B$12)</f>
        <v>-466.0268547749202</v>
      </c>
      <c r="X8" s="29">
        <f>X7*(1-НАСТРОЙКИ!$B$12)</f>
        <v>-219.91922867609173</v>
      </c>
      <c r="Y8" s="29">
        <f>Y7*(1-НАСТРОЙКИ!$B$12)</f>
        <v>32.393268932522815</v>
      </c>
      <c r="Z8" s="29">
        <f>Z7*(1-НАСТРОЙКИ!$B$12)</f>
        <v>291.68490141543651</v>
      </c>
      <c r="AA8" s="29">
        <f>AA7*(1-НАСТРОЙКИ!$B$12)</f>
        <v>557.58120956203697</v>
      </c>
      <c r="AB8" s="29">
        <f>AB7*(1-НАСТРОЙКИ!$B$12)</f>
        <v>843.65294979727355</v>
      </c>
      <c r="AC8" s="29">
        <f>AC7*(1-НАСТРОЙКИ!$B$12)</f>
        <v>1137.627671183199</v>
      </c>
      <c r="AD8" s="29">
        <f>AD7*(1-НАСТРОЙКИ!$B$12)</f>
        <v>1438.8237469257292</v>
      </c>
      <c r="AE8" s="29">
        <f>AE7*(1-НАСТРОЙКИ!$B$12)</f>
        <v>1747.8050286576263</v>
      </c>
      <c r="AF8" s="29">
        <f>AF7*(1-НАСТРОЙКИ!$B$12)</f>
        <v>2065.1604900718003</v>
      </c>
      <c r="AG8" s="29">
        <f>AG7*(1-НАСТРОЙКИ!$B$12)</f>
        <v>2390.1828854274613</v>
      </c>
      <c r="AH8" s="29">
        <f>AH7*(1-НАСТРОЙКИ!$B$12)</f>
        <v>2723.2991528916673</v>
      </c>
      <c r="AI8" s="29">
        <f>AI7*(1-НАСТРОЙКИ!$B$12)</f>
        <v>3065.4456638122738</v>
      </c>
      <c r="AJ8" s="29">
        <f>AJ7*(1-НАСТРОЙКИ!$B$12)</f>
        <v>3415.7289175376509</v>
      </c>
      <c r="AK8" s="29">
        <f>AK7*(1-НАСТРОЙКИ!$B$12)</f>
        <v>3774.7636454665835</v>
      </c>
      <c r="AL8" s="29">
        <f>AL7*(1-НАСТРОЙКИ!$B$12)</f>
        <v>4143.1918355650014</v>
      </c>
      <c r="AM8" s="29">
        <f>AM7*(1-НАСТРОЙКИ!$B$12)</f>
        <v>4520.2520974581403</v>
      </c>
      <c r="AN8" s="29">
        <f>AN7*(1-НАСТРОЙКИ!$B$12)</f>
        <v>4922.8720924216195</v>
      </c>
      <c r="AO8" s="29">
        <f>AO7*(1-НАСТРОЙКИ!$B$12)</f>
        <v>5335.2030483496665</v>
      </c>
      <c r="AP8" s="29">
        <f>AP7*(1-НАСТРОЙКИ!$B$12)</f>
        <v>5758.2862778600784</v>
      </c>
      <c r="AQ8" s="29">
        <f>AQ7*(1-НАСТРОЙКИ!$B$12)</f>
        <v>6190.9733799997266</v>
      </c>
      <c r="AR8" s="29">
        <f>AR7*(1-НАСТРОЙКИ!$B$12)</f>
        <v>6634.3153886962864</v>
      </c>
      <c r="AS8" s="29">
        <f>AS7*(1-НАСТРОЙКИ!$B$12)</f>
        <v>7088.1476024264066</v>
      </c>
      <c r="AT8" s="29">
        <f>AT7*(1-НАСТРОЙКИ!$B$12)</f>
        <v>7553.0478126500948</v>
      </c>
      <c r="AU8" s="29">
        <f>AU7*(1-НАСТРОЙКИ!$B$12)</f>
        <v>8029.0408022393167</v>
      </c>
      <c r="AV8" s="29">
        <f>AV7*(1-НАСТРОЙКИ!$B$12)</f>
        <v>8516.6825325522877</v>
      </c>
      <c r="AW8" s="29">
        <f>AW7*(1-НАСТРОЙКИ!$B$12)</f>
        <v>9015.5088393251281</v>
      </c>
      <c r="AX8" s="29">
        <f>AX7*(1-НАСТРОЙКИ!$B$12)</f>
        <v>9525.8786566593171</v>
      </c>
      <c r="AY8" s="29">
        <f>AY7*(1-НАСТРОЙКИ!$B$12)</f>
        <v>10048.41380387041</v>
      </c>
    </row>
    <row r="9" spans="1:51" x14ac:dyDescent="0.35">
      <c r="A9" s="27" t="s">
        <v>209</v>
      </c>
      <c r="B9" s="28" t="s">
        <v>81</v>
      </c>
      <c r="C9" s="46">
        <f>SUM($D$9:$AY$9)</f>
        <v>16000.000000000011</v>
      </c>
      <c r="D9" s="46">
        <f>'P&amp;L'!$D$24</f>
        <v>333.33333333333331</v>
      </c>
      <c r="E9" s="46">
        <f>'P&amp;L'!$E$24</f>
        <v>333.33333333333331</v>
      </c>
      <c r="F9" s="46">
        <f>'P&amp;L'!$F$24</f>
        <v>333.33333333333331</v>
      </c>
      <c r="G9" s="46">
        <f>'P&amp;L'!$G$24</f>
        <v>333.33333333333331</v>
      </c>
      <c r="H9" s="46">
        <f>'P&amp;L'!$H$24</f>
        <v>333.33333333333331</v>
      </c>
      <c r="I9" s="46">
        <f>'P&amp;L'!$I$24</f>
        <v>333.33333333333331</v>
      </c>
      <c r="J9" s="46">
        <f>'P&amp;L'!$J$24</f>
        <v>333.33333333333331</v>
      </c>
      <c r="K9" s="46">
        <f>'P&amp;L'!$K$24</f>
        <v>333.33333333333331</v>
      </c>
      <c r="L9" s="46">
        <f>'P&amp;L'!$L$24</f>
        <v>333.33333333333331</v>
      </c>
      <c r="M9" s="46">
        <f>'P&amp;L'!$M$24</f>
        <v>333.33333333333331</v>
      </c>
      <c r="N9" s="46">
        <f>'P&amp;L'!$N$24</f>
        <v>333.33333333333331</v>
      </c>
      <c r="O9" s="46">
        <f>'P&amp;L'!$O$24</f>
        <v>333.33333333333331</v>
      </c>
      <c r="P9" s="46">
        <f>'P&amp;L'!$P$24</f>
        <v>333.33333333333331</v>
      </c>
      <c r="Q9" s="46">
        <f>'P&amp;L'!$Q$24</f>
        <v>333.33333333333331</v>
      </c>
      <c r="R9" s="46">
        <f>'P&amp;L'!$R$24</f>
        <v>333.33333333333331</v>
      </c>
      <c r="S9" s="46">
        <f>'P&amp;L'!$S$24</f>
        <v>333.33333333333331</v>
      </c>
      <c r="T9" s="46">
        <f>'P&amp;L'!$T$24</f>
        <v>333.33333333333331</v>
      </c>
      <c r="U9" s="46">
        <f>'P&amp;L'!$U$24</f>
        <v>333.33333333333331</v>
      </c>
      <c r="V9" s="46">
        <f>'P&amp;L'!$V$24</f>
        <v>333.33333333333331</v>
      </c>
      <c r="W9" s="46">
        <f>'P&amp;L'!$W$24</f>
        <v>333.33333333333331</v>
      </c>
      <c r="X9" s="46">
        <f>'P&amp;L'!$X$24</f>
        <v>333.33333333333331</v>
      </c>
      <c r="Y9" s="46">
        <f>'P&amp;L'!$Y$24</f>
        <v>333.33333333333331</v>
      </c>
      <c r="Z9" s="46">
        <f>'P&amp;L'!$Z$24</f>
        <v>333.33333333333331</v>
      </c>
      <c r="AA9" s="46">
        <f>'P&amp;L'!$AA$24</f>
        <v>333.33333333333331</v>
      </c>
      <c r="AB9" s="46">
        <f>'P&amp;L'!$AB$24</f>
        <v>333.33333333333331</v>
      </c>
      <c r="AC9" s="46">
        <f>'P&amp;L'!$AC$24</f>
        <v>333.33333333333331</v>
      </c>
      <c r="AD9" s="46">
        <f>'P&amp;L'!$AD$24</f>
        <v>333.33333333333331</v>
      </c>
      <c r="AE9" s="46">
        <f>'P&amp;L'!$AE$24</f>
        <v>333.33333333333331</v>
      </c>
      <c r="AF9" s="46">
        <f>'P&amp;L'!$AF$24</f>
        <v>333.33333333333331</v>
      </c>
      <c r="AG9" s="46">
        <f>'P&amp;L'!$AG$24</f>
        <v>333.33333333333331</v>
      </c>
      <c r="AH9" s="46">
        <f>'P&amp;L'!$AH$24</f>
        <v>333.33333333333331</v>
      </c>
      <c r="AI9" s="46">
        <f>'P&amp;L'!$AI$24</f>
        <v>333.33333333333331</v>
      </c>
      <c r="AJ9" s="46">
        <f>'P&amp;L'!$AJ$24</f>
        <v>333.33333333333331</v>
      </c>
      <c r="AK9" s="46">
        <f>'P&amp;L'!$AK$24</f>
        <v>333.33333333333331</v>
      </c>
      <c r="AL9" s="46">
        <f>'P&amp;L'!$AL$24</f>
        <v>333.33333333333331</v>
      </c>
      <c r="AM9" s="46">
        <f>'P&amp;L'!$AM$24</f>
        <v>333.33333333333331</v>
      </c>
      <c r="AN9" s="46">
        <f>'P&amp;L'!$AN$24</f>
        <v>333.33333333333331</v>
      </c>
      <c r="AO9" s="46">
        <f>'P&amp;L'!$AO$24</f>
        <v>333.33333333333331</v>
      </c>
      <c r="AP9" s="46">
        <f>'P&amp;L'!$AP$24</f>
        <v>333.33333333333331</v>
      </c>
      <c r="AQ9" s="46">
        <f>'P&amp;L'!$AQ$24</f>
        <v>333.33333333333331</v>
      </c>
      <c r="AR9" s="46">
        <f>'P&amp;L'!$AR$24</f>
        <v>333.33333333333331</v>
      </c>
      <c r="AS9" s="46">
        <f>'P&amp;L'!$AS$24</f>
        <v>333.33333333333331</v>
      </c>
      <c r="AT9" s="46">
        <f>'P&amp;L'!$AT$24</f>
        <v>333.33333333333331</v>
      </c>
      <c r="AU9" s="46">
        <f>'P&amp;L'!$AU$24</f>
        <v>333.33333333333331</v>
      </c>
      <c r="AV9" s="46">
        <f>'P&amp;L'!$AV$24</f>
        <v>333.33333333333331</v>
      </c>
      <c r="AW9" s="46">
        <f>'P&amp;L'!$AW$24</f>
        <v>333.33333333333331</v>
      </c>
      <c r="AX9" s="46">
        <f>'P&amp;L'!$AX$24</f>
        <v>333.33333333333331</v>
      </c>
      <c r="AY9" s="46">
        <f>'P&amp;L'!$AY$24</f>
        <v>333.33333333333331</v>
      </c>
    </row>
    <row r="10" spans="1:51" x14ac:dyDescent="0.35">
      <c r="A10" s="27" t="s">
        <v>210</v>
      </c>
      <c r="B10" s="28" t="s">
        <v>81</v>
      </c>
      <c r="C10" s="46">
        <f>SUM($D$10:$AY$10)</f>
        <v>28916.067423245262</v>
      </c>
      <c r="D10" s="46">
        <f>ОДДС!$D$37</f>
        <v>410</v>
      </c>
      <c r="E10" s="46">
        <f>ОДДС!$E$37</f>
        <v>5.4666666666668107</v>
      </c>
      <c r="F10" s="46">
        <f>ОДДС!$F$37</f>
        <v>5.5395555555554665</v>
      </c>
      <c r="G10" s="46">
        <f>ОДДС!$G$37</f>
        <v>5.6134162962964638</v>
      </c>
      <c r="H10" s="46">
        <f>ОДДС!$H$37</f>
        <v>5.6882618469135195</v>
      </c>
      <c r="I10" s="46">
        <f>ОДДС!$I$37</f>
        <v>5.7641053382058089</v>
      </c>
      <c r="J10" s="46">
        <f>ОДДС!$J$37</f>
        <v>5.8409600760485318</v>
      </c>
      <c r="K10" s="46">
        <f>ОДДС!$K$37</f>
        <v>5.9188395437290637</v>
      </c>
      <c r="L10" s="46">
        <f>ОДДС!$L$37</f>
        <v>5.9977574043124378</v>
      </c>
      <c r="M10" s="46">
        <f>ОДДС!$M$37</f>
        <v>6.0777275030363853</v>
      </c>
      <c r="N10" s="46">
        <f>ОДДС!$N$37</f>
        <v>6.1587638697435523</v>
      </c>
      <c r="O10" s="46">
        <f>ОДДС!$O$37</f>
        <v>6.2408807213402042</v>
      </c>
      <c r="P10" s="46">
        <f>ОДДС!$P$37</f>
        <v>474.82657161748489</v>
      </c>
      <c r="Q10" s="46">
        <f>ОДДС!$Q$37</f>
        <v>486.65840920907749</v>
      </c>
      <c r="R10" s="46">
        <f>ОДДС!$R$37</f>
        <v>500.22306013555135</v>
      </c>
      <c r="S10" s="46">
        <f>ОДДС!$S$37</f>
        <v>512.26368180210579</v>
      </c>
      <c r="T10" s="46">
        <f>ОДДС!$T$37</f>
        <v>526.63718635817941</v>
      </c>
      <c r="U10" s="46">
        <f>ОДДС!$U$37</f>
        <v>539.45912890109594</v>
      </c>
      <c r="V10" s="46">
        <f>ОДДС!$V$37</f>
        <v>554.11278418110032</v>
      </c>
      <c r="W10" s="46">
        <f>ОДДС!$W$37</f>
        <v>567.45676885003013</v>
      </c>
      <c r="X10" s="46">
        <f>ОДДС!$X$37</f>
        <v>582.6840088228837</v>
      </c>
      <c r="Y10" s="46">
        <f>ОДДС!$Y$37</f>
        <v>596.56882367746766</v>
      </c>
      <c r="Z10" s="46">
        <f>ОДДС!$Z$37</f>
        <v>612.08542201147156</v>
      </c>
      <c r="AA10" s="46">
        <f>ОДДС!$AA$37</f>
        <v>626.83088981413948</v>
      </c>
      <c r="AB10" s="46">
        <f>ОДДС!$AB$37</f>
        <v>669.97813998134916</v>
      </c>
      <c r="AC10" s="46">
        <f>ОДДС!$AC$37</f>
        <v>687.46453602157271</v>
      </c>
      <c r="AD10" s="46">
        <f>ОДДС!$AD$37</f>
        <v>703.53771645211782</v>
      </c>
      <c r="AE10" s="46">
        <f>ОДДС!$AE$37</f>
        <v>720.80333442929077</v>
      </c>
      <c r="AF10" s="46">
        <f>ОДДС!$AF$37</f>
        <v>739.31411595928876</v>
      </c>
      <c r="AG10" s="46">
        <f>ОДДС!$AG$37</f>
        <v>756.35860368531939</v>
      </c>
      <c r="AH10" s="46">
        <f>ОДДС!$AH$37</f>
        <v>774.30963461980718</v>
      </c>
      <c r="AI10" s="46">
        <f>ОДДС!$AI$37</f>
        <v>794.2330983306565</v>
      </c>
      <c r="AJ10" s="46">
        <f>ОДДС!$AJ$37</f>
        <v>812.30116788657324</v>
      </c>
      <c r="AK10" s="46">
        <f>ОДДС!$AK$37</f>
        <v>831.66917896804807</v>
      </c>
      <c r="AL10" s="46">
        <f>ОДДС!$AL$37</f>
        <v>852.3943370830948</v>
      </c>
      <c r="AM10" s="46">
        <f>ОДДС!$AM$37</f>
        <v>871.5410277691044</v>
      </c>
      <c r="AN10" s="46">
        <f>ОДДС!$AN$37</f>
        <v>926.1141248053591</v>
      </c>
      <c r="AO10" s="46">
        <f>ОДДС!$AO$37</f>
        <v>947.54703008367505</v>
      </c>
      <c r="AP10" s="46">
        <f>ОДДС!$AP$37</f>
        <v>971.17322043427339</v>
      </c>
      <c r="AQ10" s="46">
        <f>ОДДС!$AQ$37</f>
        <v>992.41211450262199</v>
      </c>
      <c r="AR10" s="46">
        <f>ОДДС!$AR$37</f>
        <v>1015.8650303454051</v>
      </c>
      <c r="AS10" s="46">
        <f>ОДДС!$AS$37</f>
        <v>1038.9889093899001</v>
      </c>
      <c r="AT10" s="46">
        <f>ОДДС!$AT$37</f>
        <v>1063.3372196359196</v>
      </c>
      <c r="AU10" s="46">
        <f>ОДДС!$AU$37</f>
        <v>1087.753302116711</v>
      </c>
      <c r="AV10" s="46">
        <f>ОДДС!$AV$37</f>
        <v>1113.3485701715908</v>
      </c>
      <c r="AW10" s="46">
        <f>ОДДС!$AW$37</f>
        <v>1137.9891831011191</v>
      </c>
      <c r="AX10" s="46">
        <f>ОДДС!$AX$37</f>
        <v>1163.3972429110181</v>
      </c>
      <c r="AY10" s="46">
        <f>ОДДС!$AY$37</f>
        <v>1190.1229143590099</v>
      </c>
    </row>
    <row r="11" spans="1:51" x14ac:dyDescent="0.35">
      <c r="A11" s="27" t="s">
        <v>211</v>
      </c>
      <c r="B11" s="28" t="s">
        <v>81</v>
      </c>
      <c r="C11" s="46">
        <f>SUM($D$11:$AY$11)</f>
        <v>32000</v>
      </c>
      <c r="D11" s="46">
        <f>ДОПУЩЕНИЯ!$D$33</f>
        <v>4923</v>
      </c>
      <c r="E11" s="46">
        <f>ДОПУЩЕНИЯ!$E$33</f>
        <v>4513</v>
      </c>
      <c r="F11" s="46">
        <f>ДОПУЩЕНИЯ!$F$33</f>
        <v>4103</v>
      </c>
      <c r="G11" s="46">
        <f>ДОПУЩЕНИЯ!$G$33</f>
        <v>3692</v>
      </c>
      <c r="H11" s="46">
        <f>ДОПУЩЕНИЯ!$H$33</f>
        <v>3282</v>
      </c>
      <c r="I11" s="46">
        <f>ДОПУЩЕНИЯ!$I$33</f>
        <v>2872</v>
      </c>
      <c r="J11" s="46">
        <f>ДОПУЩЕНИЯ!$J$33</f>
        <v>2462</v>
      </c>
      <c r="K11" s="46">
        <f>ДОПУЩЕНИЯ!$K$33</f>
        <v>2051</v>
      </c>
      <c r="L11" s="46">
        <f>ДОПУЩЕНИЯ!$L$33</f>
        <v>1641</v>
      </c>
      <c r="M11" s="46">
        <f>ДОПУЩЕНИЯ!$M$33</f>
        <v>1231</v>
      </c>
      <c r="N11" s="46">
        <f>ДОПУЩЕНИЯ!$N$33</f>
        <v>821</v>
      </c>
      <c r="O11" s="46">
        <f>ДОПУЩЕНИЯ!$O$33</f>
        <v>409</v>
      </c>
      <c r="P11" s="46">
        <f>ДОПУЩЕНИЯ!$P$33</f>
        <v>0</v>
      </c>
      <c r="Q11" s="46">
        <f>ДОПУЩЕНИЯ!$Q$33</f>
        <v>0</v>
      </c>
      <c r="R11" s="46">
        <f>ДОПУЩЕНИЯ!$R$33</f>
        <v>0</v>
      </c>
      <c r="S11" s="46">
        <f>ДОПУЩЕНИЯ!$S$33</f>
        <v>0</v>
      </c>
      <c r="T11" s="46">
        <f>ДОПУЩЕНИЯ!$T$33</f>
        <v>0</v>
      </c>
      <c r="U11" s="46">
        <f>ДОПУЩЕНИЯ!$U$33</f>
        <v>0</v>
      </c>
      <c r="V11" s="46">
        <f>ДОПУЩЕНИЯ!$V$33</f>
        <v>0</v>
      </c>
      <c r="W11" s="46">
        <f>ДОПУЩЕНИЯ!$W$33</f>
        <v>0</v>
      </c>
      <c r="X11" s="46">
        <f>ДОПУЩЕНИЯ!$X$33</f>
        <v>0</v>
      </c>
      <c r="Y11" s="46">
        <f>ДОПУЩЕНИЯ!$Y$33</f>
        <v>0</v>
      </c>
      <c r="Z11" s="46">
        <f>ДОПУЩЕНИЯ!$Z$33</f>
        <v>0</v>
      </c>
      <c r="AA11" s="46">
        <f>ДОПУЩЕНИЯ!$AA$33</f>
        <v>0</v>
      </c>
      <c r="AB11" s="46">
        <f>ДОПУЩЕНИЯ!$AB$33</f>
        <v>0</v>
      </c>
      <c r="AC11" s="46">
        <f>ДОПУЩЕНИЯ!$AC$33</f>
        <v>0</v>
      </c>
      <c r="AD11" s="46">
        <f>ДОПУЩЕНИЯ!$AD$33</f>
        <v>0</v>
      </c>
      <c r="AE11" s="46">
        <f>ДОПУЩЕНИЯ!$AE$33</f>
        <v>0</v>
      </c>
      <c r="AF11" s="46">
        <f>ДОПУЩЕНИЯ!$AF$33</f>
        <v>0</v>
      </c>
      <c r="AG11" s="46">
        <f>ДОПУЩЕНИЯ!$AG$33</f>
        <v>0</v>
      </c>
      <c r="AH11" s="46">
        <f>ДОПУЩЕНИЯ!$AH$33</f>
        <v>0</v>
      </c>
      <c r="AI11" s="46">
        <f>ДОПУЩЕНИЯ!$AI$33</f>
        <v>0</v>
      </c>
      <c r="AJ11" s="46">
        <f>ДОПУЩЕНИЯ!$AJ$33</f>
        <v>0</v>
      </c>
      <c r="AK11" s="46">
        <f>ДОПУЩЕНИЯ!$AK$33</f>
        <v>0</v>
      </c>
      <c r="AL11" s="46">
        <f>ДОПУЩЕНИЯ!$AL$33</f>
        <v>0</v>
      </c>
      <c r="AM11" s="46">
        <f>ДОПУЩЕНИЯ!$AM$33</f>
        <v>0</v>
      </c>
      <c r="AN11" s="46">
        <f>ДОПУЩЕНИЯ!$AN$33</f>
        <v>0</v>
      </c>
      <c r="AO11" s="46">
        <f>ДОПУЩЕНИЯ!$AO$33</f>
        <v>0</v>
      </c>
      <c r="AP11" s="46">
        <f>ДОПУЩЕНИЯ!$AP$33</f>
        <v>0</v>
      </c>
      <c r="AQ11" s="46">
        <f>ДОПУЩЕНИЯ!$AQ$33</f>
        <v>0</v>
      </c>
      <c r="AR11" s="46">
        <f>ДОПУЩЕНИЯ!$AR$33</f>
        <v>0</v>
      </c>
      <c r="AS11" s="46">
        <f>ДОПУЩЕНИЯ!$AS$33</f>
        <v>0</v>
      </c>
      <c r="AT11" s="46">
        <f>ДОПУЩЕНИЯ!$AT$33</f>
        <v>0</v>
      </c>
      <c r="AU11" s="46">
        <f>ДОПУЩЕНИЯ!$AU$33</f>
        <v>0</v>
      </c>
      <c r="AV11" s="46">
        <f>ДОПУЩЕНИЯ!$AV$33</f>
        <v>0</v>
      </c>
      <c r="AW11" s="46">
        <f>ДОПУЩЕНИЯ!$AW$33</f>
        <v>0</v>
      </c>
      <c r="AX11" s="46">
        <f>ДОПУЩЕНИЯ!$AX$33</f>
        <v>0</v>
      </c>
      <c r="AY11" s="46">
        <f>ДОПУЩЕНИЯ!$AY$33</f>
        <v>0</v>
      </c>
    </row>
    <row r="12" spans="1:51" x14ac:dyDescent="0.35">
      <c r="A12" s="47" t="s">
        <v>212</v>
      </c>
      <c r="B12" s="53" t="s">
        <v>81</v>
      </c>
      <c r="C12" s="49">
        <f>SUM($D$12:$AY$12)</f>
        <v>40644.783424548907</v>
      </c>
      <c r="D12" s="49">
        <f t="shared" ref="D12:AY12" si="0">D8+D9-D10-D11</f>
        <v>-6944.666666666667</v>
      </c>
      <c r="E12" s="49">
        <f t="shared" si="0"/>
        <v>-6152.7333333333336</v>
      </c>
      <c r="F12" s="49">
        <f t="shared" si="0"/>
        <v>-5765.7075555555557</v>
      </c>
      <c r="G12" s="49">
        <f t="shared" si="0"/>
        <v>-5377.9881007407421</v>
      </c>
      <c r="H12" s="49">
        <f t="shared" si="0"/>
        <v>-4991.5790531950624</v>
      </c>
      <c r="I12" s="49">
        <f t="shared" si="0"/>
        <v>-4605.4845516821078</v>
      </c>
      <c r="J12" s="49">
        <f t="shared" si="0"/>
        <v>-4219.7087901489813</v>
      </c>
      <c r="K12" s="49">
        <f t="shared" si="0"/>
        <v>-3833.2560184620779</v>
      </c>
      <c r="L12" s="49">
        <f t="shared" si="0"/>
        <v>-3448.1305431526839</v>
      </c>
      <c r="M12" s="49">
        <f t="shared" si="0"/>
        <v>-3063.3367281724977</v>
      </c>
      <c r="N12" s="49">
        <f t="shared" si="0"/>
        <v>-2678.8789956592423</v>
      </c>
      <c r="O12" s="49">
        <f t="shared" si="0"/>
        <v>-2292.7618267124767</v>
      </c>
      <c r="P12" s="49">
        <f t="shared" si="0"/>
        <v>-2154.5377595399377</v>
      </c>
      <c r="Q12" s="49">
        <f t="shared" si="0"/>
        <v>-1963.2928643725229</v>
      </c>
      <c r="R12" s="49">
        <f t="shared" si="0"/>
        <v>-1767.6906703747002</v>
      </c>
      <c r="S12" s="49">
        <f t="shared" si="0"/>
        <v>-1565.2081089544167</v>
      </c>
      <c r="T12" s="49">
        <f t="shared" si="0"/>
        <v>-1358.5922475494099</v>
      </c>
      <c r="U12" s="49">
        <f t="shared" si="0"/>
        <v>-1144.7057175756211</v>
      </c>
      <c r="V12" s="49">
        <f t="shared" si="0"/>
        <v>-926.06166235462138</v>
      </c>
      <c r="W12" s="49">
        <f t="shared" si="0"/>
        <v>-700.15029029161701</v>
      </c>
      <c r="X12" s="49">
        <f t="shared" si="0"/>
        <v>-469.26990416564212</v>
      </c>
      <c r="Y12" s="49">
        <f t="shared" si="0"/>
        <v>-230.84222141161155</v>
      </c>
      <c r="Z12" s="49">
        <f t="shared" si="0"/>
        <v>12.932812737298264</v>
      </c>
      <c r="AA12" s="49">
        <f t="shared" si="0"/>
        <v>264.08365308123075</v>
      </c>
      <c r="AB12" s="49">
        <f t="shared" si="0"/>
        <v>507.00814314925765</v>
      </c>
      <c r="AC12" s="49">
        <f t="shared" si="0"/>
        <v>783.49646849495957</v>
      </c>
      <c r="AD12" s="49">
        <f t="shared" si="0"/>
        <v>1068.6193638069446</v>
      </c>
      <c r="AE12" s="49">
        <f t="shared" si="0"/>
        <v>1360.335027561669</v>
      </c>
      <c r="AF12" s="49">
        <f t="shared" si="0"/>
        <v>1659.179707445845</v>
      </c>
      <c r="AG12" s="49">
        <f t="shared" si="0"/>
        <v>1967.1576150754754</v>
      </c>
      <c r="AH12" s="49">
        <f t="shared" si="0"/>
        <v>2282.3228516051936</v>
      </c>
      <c r="AI12" s="49">
        <f t="shared" si="0"/>
        <v>2604.5458988149508</v>
      </c>
      <c r="AJ12" s="49">
        <f t="shared" si="0"/>
        <v>2936.7610829844111</v>
      </c>
      <c r="AK12" s="49">
        <f t="shared" si="0"/>
        <v>3276.4277998318685</v>
      </c>
      <c r="AL12" s="49">
        <f t="shared" si="0"/>
        <v>3624.1308318152396</v>
      </c>
      <c r="AM12" s="49">
        <f t="shared" si="0"/>
        <v>3982.0444030223689</v>
      </c>
      <c r="AN12" s="49">
        <f t="shared" si="0"/>
        <v>4330.0913009495935</v>
      </c>
      <c r="AO12" s="49">
        <f t="shared" si="0"/>
        <v>4720.9893515993244</v>
      </c>
      <c r="AP12" s="49">
        <f t="shared" si="0"/>
        <v>5120.446390759138</v>
      </c>
      <c r="AQ12" s="49">
        <f t="shared" si="0"/>
        <v>5531.8945988304376</v>
      </c>
      <c r="AR12" s="49">
        <f t="shared" si="0"/>
        <v>5951.7836916842143</v>
      </c>
      <c r="AS12" s="49">
        <f t="shared" si="0"/>
        <v>6382.4920263698396</v>
      </c>
      <c r="AT12" s="49">
        <f t="shared" si="0"/>
        <v>6823.0439263475082</v>
      </c>
      <c r="AU12" s="49">
        <f t="shared" si="0"/>
        <v>7274.6208334559396</v>
      </c>
      <c r="AV12" s="49">
        <f t="shared" si="0"/>
        <v>7736.6672957140308</v>
      </c>
      <c r="AW12" s="49">
        <f t="shared" si="0"/>
        <v>8210.8529895573429</v>
      </c>
      <c r="AX12" s="49">
        <f t="shared" si="0"/>
        <v>8695.814747081633</v>
      </c>
      <c r="AY12" s="49">
        <f t="shared" si="0"/>
        <v>9191.6242228447336</v>
      </c>
    </row>
    <row r="14" spans="1:51" ht="16" customHeight="1" x14ac:dyDescent="0.35">
      <c r="A14" s="66" t="s">
        <v>213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</row>
    <row r="15" spans="1:51" x14ac:dyDescent="0.35">
      <c r="A15" s="27" t="s">
        <v>214</v>
      </c>
      <c r="B15" s="28" t="s">
        <v>215</v>
      </c>
      <c r="C15" s="32" t="s">
        <v>79</v>
      </c>
      <c r="D15" s="24">
        <v>1</v>
      </c>
      <c r="E15" s="24">
        <v>2</v>
      </c>
      <c r="F15" s="24">
        <v>3</v>
      </c>
      <c r="G15" s="24">
        <v>4</v>
      </c>
      <c r="H15" s="24">
        <v>5</v>
      </c>
      <c r="I15" s="24">
        <v>6</v>
      </c>
      <c r="J15" s="24">
        <v>7</v>
      </c>
      <c r="K15" s="24">
        <v>8</v>
      </c>
      <c r="L15" s="24">
        <v>9</v>
      </c>
      <c r="M15" s="24">
        <v>10</v>
      </c>
      <c r="N15" s="24">
        <v>11</v>
      </c>
      <c r="O15" s="24">
        <v>12</v>
      </c>
      <c r="P15" s="24">
        <v>13</v>
      </c>
      <c r="Q15" s="24">
        <v>14</v>
      </c>
      <c r="R15" s="24">
        <v>15</v>
      </c>
      <c r="S15" s="24">
        <v>16</v>
      </c>
      <c r="T15" s="24">
        <v>17</v>
      </c>
      <c r="U15" s="24">
        <v>18</v>
      </c>
      <c r="V15" s="24">
        <v>19</v>
      </c>
      <c r="W15" s="24">
        <v>20</v>
      </c>
      <c r="X15" s="24">
        <v>21</v>
      </c>
      <c r="Y15" s="24">
        <v>22</v>
      </c>
      <c r="Z15" s="24">
        <v>23</v>
      </c>
      <c r="AA15" s="24">
        <v>24</v>
      </c>
      <c r="AB15" s="24">
        <v>25</v>
      </c>
      <c r="AC15" s="24">
        <v>26</v>
      </c>
      <c r="AD15" s="24">
        <v>27</v>
      </c>
      <c r="AE15" s="24">
        <v>28</v>
      </c>
      <c r="AF15" s="24">
        <v>29</v>
      </c>
      <c r="AG15" s="24">
        <v>30</v>
      </c>
      <c r="AH15" s="24">
        <v>31</v>
      </c>
      <c r="AI15" s="24">
        <v>32</v>
      </c>
      <c r="AJ15" s="24">
        <v>33</v>
      </c>
      <c r="AK15" s="24">
        <v>34</v>
      </c>
      <c r="AL15" s="24">
        <v>35</v>
      </c>
      <c r="AM15" s="24">
        <v>36</v>
      </c>
      <c r="AN15" s="24">
        <v>37</v>
      </c>
      <c r="AO15" s="24">
        <v>38</v>
      </c>
      <c r="AP15" s="24">
        <v>39</v>
      </c>
      <c r="AQ15" s="24">
        <v>40</v>
      </c>
      <c r="AR15" s="24">
        <v>41</v>
      </c>
      <c r="AS15" s="24">
        <v>42</v>
      </c>
      <c r="AT15" s="24">
        <v>43</v>
      </c>
      <c r="AU15" s="24">
        <v>44</v>
      </c>
      <c r="AV15" s="24">
        <v>45</v>
      </c>
      <c r="AW15" s="24">
        <v>46</v>
      </c>
      <c r="AX15" s="24">
        <v>47</v>
      </c>
      <c r="AY15" s="24">
        <v>48</v>
      </c>
    </row>
    <row r="16" spans="1:51" x14ac:dyDescent="0.35">
      <c r="A16" s="27" t="s">
        <v>216</v>
      </c>
      <c r="B16" s="28" t="s">
        <v>217</v>
      </c>
      <c r="C16" s="32" t="s">
        <v>79</v>
      </c>
      <c r="D16" s="69">
        <f>1/(1+НАСТРОЙКИ!$B$37/12)^D15</f>
        <v>0.98488165620982249</v>
      </c>
      <c r="E16" s="69">
        <f>1/(1+НАСТРОЙКИ!$B$37/12)^E15</f>
        <v>0.96999187673860288</v>
      </c>
      <c r="F16" s="69">
        <f>1/(1+НАСТРОЙКИ!$B$37/12)^F15</f>
        <v>0.9553272060723893</v>
      </c>
      <c r="G16" s="69">
        <f>1/(1+НАСТРОЙКИ!$B$37/12)^G15</f>
        <v>0.94088424093887713</v>
      </c>
      <c r="H16" s="69">
        <f>1/(1+НАСТРОЙКИ!$B$37/12)^H15</f>
        <v>0.92665962951760306</v>
      </c>
      <c r="I16" s="69">
        <f>1/(1+НАСТРОЙКИ!$B$37/12)^I15</f>
        <v>0.91265007066207737</v>
      </c>
      <c r="J16" s="69">
        <f>1/(1+НАСТРОЙКИ!$B$37/12)^J15</f>
        <v>0.89885231313367819</v>
      </c>
      <c r="K16" s="69">
        <f>1/(1+НАСТРОЙКИ!$B$37/12)^K15</f>
        <v>0.88526315484712703</v>
      </c>
      <c r="L16" s="69">
        <f>1/(1+НАСТРОЙКИ!$B$37/12)^L15</f>
        <v>0.87187944212737101</v>
      </c>
      <c r="M16" s="69">
        <f>1/(1+НАСТРОЙКИ!$B$37/12)^M15</f>
        <v>0.85869806897770118</v>
      </c>
      <c r="N16" s="69">
        <f>1/(1+НАСТРОЙКИ!$B$37/12)^N15</f>
        <v>0.84571597635893481</v>
      </c>
      <c r="O16" s="69">
        <f>1/(1+НАСТРОЙКИ!$B$37/12)^O15</f>
        <v>0.83293015147949478</v>
      </c>
      <c r="P16" s="69">
        <f>1/(1+НАСТРОЙКИ!$B$37/12)^P15</f>
        <v>0.82033762709622315</v>
      </c>
      <c r="Q16" s="69">
        <f>1/(1+НАСТРОЙКИ!$B$37/12)^Q15</f>
        <v>0.80793548082576394</v>
      </c>
      <c r="R16" s="69">
        <f>1/(1+НАСТРОЙКИ!$B$37/12)^R15</f>
        <v>0.79572083446635766</v>
      </c>
      <c r="S16" s="69">
        <f>1/(1+НАСТРОЙКИ!$B$37/12)^S15</f>
        <v>0.78369085332988841</v>
      </c>
      <c r="T16" s="69">
        <f>1/(1+НАСТРОЙКИ!$B$37/12)^T15</f>
        <v>0.77184274558402943</v>
      </c>
      <c r="U16" s="69">
        <f>1/(1+НАСТРОЙКИ!$B$37/12)^U15</f>
        <v>0.7601737616043357</v>
      </c>
      <c r="V16" s="69">
        <f>1/(1+НАСТРОЙКИ!$B$37/12)^V15</f>
        <v>0.74868119333612881</v>
      </c>
      <c r="W16" s="69">
        <f>1/(1+НАСТРОЙКИ!$B$37/12)^W15</f>
        <v>0.73736237366603286</v>
      </c>
      <c r="X16" s="69">
        <f>1/(1+НАСТРОЙКИ!$B$37/12)^X15</f>
        <v>0.72621467580300847</v>
      </c>
      <c r="Y16" s="69">
        <f>1/(1+НАСТРОЙКИ!$B$37/12)^Y15</f>
        <v>0.71523551266874641</v>
      </c>
      <c r="Z16" s="69">
        <f>1/(1+НАСТРОЙКИ!$B$37/12)^Z15</f>
        <v>0.70442233629727624</v>
      </c>
      <c r="AA16" s="69">
        <f>1/(1+НАСТРОЙКИ!$B$37/12)^AA15</f>
        <v>0.69377263724365412</v>
      </c>
      <c r="AB16" s="69">
        <f>1/(1+НАСТРОЙКИ!$B$37/12)^AB15</f>
        <v>0.68328394400158643</v>
      </c>
      <c r="AC16" s="69">
        <f>1/(1+НАСТРОЙКИ!$B$37/12)^AC15</f>
        <v>0.67295382242986201</v>
      </c>
      <c r="AD16" s="69">
        <f>1/(1+НАСТРОЙКИ!$B$37/12)^AD15</f>
        <v>0.66277987518745329</v>
      </c>
      <c r="AE16" s="69">
        <f>1/(1+НАСТРОЙКИ!$B$37/12)^AE15</f>
        <v>0.65275974117715851</v>
      </c>
      <c r="AF16" s="69">
        <f>1/(1+НАСТРОЙКИ!$B$37/12)^AF15</f>
        <v>0.64289109499765484</v>
      </c>
      <c r="AG16" s="69">
        <f>1/(1+НАСТРОЙКИ!$B$37/12)^AG15</f>
        <v>0.63317164640383661</v>
      </c>
      <c r="AH16" s="69">
        <f>1/(1+НАСТРОЙКИ!$B$37/12)^AH15</f>
        <v>0.62359913977531067</v>
      </c>
      <c r="AI16" s="69">
        <f>1/(1+НАСТРОЙКИ!$B$37/12)^AI15</f>
        <v>0.61417135359292863</v>
      </c>
      <c r="AJ16" s="69">
        <f>1/(1+НАСТРОЙКИ!$B$37/12)^AJ15</f>
        <v>0.60488609992323195</v>
      </c>
      <c r="AK16" s="69">
        <f>1/(1+НАСТРОЙКИ!$B$37/12)^AK15</f>
        <v>0.59574122391069295</v>
      </c>
      <c r="AL16" s="69">
        <f>1/(1+НАСТРОЙКИ!$B$37/12)^AL15</f>
        <v>0.58673460327762994</v>
      </c>
      <c r="AM16" s="69">
        <f>1/(1+НАСТРОЙКИ!$B$37/12)^AM15</f>
        <v>0.57786414783168538</v>
      </c>
      <c r="AN16" s="69">
        <f>1/(1+НАСТРОЙКИ!$B$37/12)^AN15</f>
        <v>0.56912779898074806</v>
      </c>
      <c r="AO16" s="69">
        <f>1/(1+НАСТРОЙКИ!$B$37/12)^AO15</f>
        <v>0.56052352925520998</v>
      </c>
      <c r="AP16" s="69">
        <f>1/(1+НАСТРОЙКИ!$B$37/12)^AP15</f>
        <v>0.55204934183744603</v>
      </c>
      <c r="AQ16" s="69">
        <f>1/(1+НАСТРОЙКИ!$B$37/12)^AQ15</f>
        <v>0.54370327009840635</v>
      </c>
      <c r="AR16" s="69">
        <f>1/(1+НАСТРОЙКИ!$B$37/12)^AR15</f>
        <v>0.53548337714121497</v>
      </c>
      <c r="AS16" s="69">
        <f>1/(1+НАСТРОЙКИ!$B$37/12)^AS15</f>
        <v>0.52738775535166871</v>
      </c>
      <c r="AT16" s="69">
        <f>1/(1+НАСТРОЙКИ!$B$37/12)^AT15</f>
        <v>0.51941452595553228</v>
      </c>
      <c r="AU16" s="69">
        <f>1/(1+НАСТРОЙКИ!$B$37/12)^AU15</f>
        <v>0.51156183858252435</v>
      </c>
      <c r="AV16" s="69">
        <f>1/(1+НАСТРОЙКИ!$B$37/12)^AV15</f>
        <v>0.50382787083689851</v>
      </c>
      <c r="AW16" s="69">
        <f>1/(1+НАСТРОЙКИ!$B$37/12)^AW15</f>
        <v>0.49621082787451304</v>
      </c>
      <c r="AX16" s="69">
        <f>1/(1+НАСТРОЙКИ!$B$37/12)^AX15</f>
        <v>0.48870894198629761</v>
      </c>
      <c r="AY16" s="69">
        <f>1/(1+НАСТРОЙКИ!$B$37/12)^AY15</f>
        <v>0.48132047218801488</v>
      </c>
    </row>
    <row r="17" spans="1:51" x14ac:dyDescent="0.35">
      <c r="A17" s="27" t="s">
        <v>218</v>
      </c>
      <c r="B17" s="28" t="s">
        <v>81</v>
      </c>
      <c r="C17" s="29">
        <f>SUM($D$17:$AY$17)</f>
        <v>-1261.4564890869042</v>
      </c>
      <c r="D17" s="29">
        <f t="shared" ref="D17:AY17" si="1">D12*D16</f>
        <v>-6839.6748084918145</v>
      </c>
      <c r="E17" s="29">
        <f t="shared" si="1"/>
        <v>-5968.1013530721602</v>
      </c>
      <c r="F17" s="29">
        <f t="shared" si="1"/>
        <v>-5508.137290079354</v>
      </c>
      <c r="G17" s="29">
        <f t="shared" si="1"/>
        <v>-5060.064251943767</v>
      </c>
      <c r="H17" s="29">
        <f t="shared" si="1"/>
        <v>-4625.4947961415646</v>
      </c>
      <c r="I17" s="29">
        <f t="shared" si="1"/>
        <v>-4203.1958015257815</v>
      </c>
      <c r="J17" s="29">
        <f t="shared" si="1"/>
        <v>-3792.8950067759265</v>
      </c>
      <c r="K17" s="29">
        <f t="shared" si="1"/>
        <v>-3393.440316240476</v>
      </c>
      <c r="L17" s="29">
        <f t="shared" si="1"/>
        <v>-3006.3541343463107</v>
      </c>
      <c r="M17" s="29">
        <f t="shared" si="1"/>
        <v>-2630.4813331101927</v>
      </c>
      <c r="N17" s="29">
        <f t="shared" si="1"/>
        <v>-2265.5707653613986</v>
      </c>
      <c r="O17" s="29">
        <f t="shared" si="1"/>
        <v>-1909.7104556300264</v>
      </c>
      <c r="P17" s="29">
        <f t="shared" si="1"/>
        <v>-1767.4483931502054</v>
      </c>
      <c r="Q17" s="29">
        <f t="shared" si="1"/>
        <v>-1586.2139643786056</v>
      </c>
      <c r="R17" s="29">
        <f t="shared" si="1"/>
        <v>-1406.5882953089515</v>
      </c>
      <c r="S17" s="29">
        <f t="shared" si="1"/>
        <v>-1226.6392785453479</v>
      </c>
      <c r="T17" s="29">
        <f t="shared" si="1"/>
        <v>-1048.619570477714</v>
      </c>
      <c r="U17" s="29">
        <f t="shared" si="1"/>
        <v>-870.17525125945019</v>
      </c>
      <c r="V17" s="29">
        <f t="shared" si="1"/>
        <v>-693.32495047449709</v>
      </c>
      <c r="W17" s="29">
        <f t="shared" si="1"/>
        <v>-516.2644799723887</v>
      </c>
      <c r="X17" s="29">
        <f t="shared" si="1"/>
        <v>-340.79069131776066</v>
      </c>
      <c r="Y17" s="29">
        <f t="shared" si="1"/>
        <v>-165.10655457692624</v>
      </c>
      <c r="Z17" s="29">
        <f t="shared" si="1"/>
        <v>9.1101621633028156</v>
      </c>
      <c r="AA17" s="29">
        <f t="shared" si="1"/>
        <v>183.21401245110371</v>
      </c>
      <c r="AB17" s="29">
        <f t="shared" si="1"/>
        <v>346.43052369194567</v>
      </c>
      <c r="AC17" s="29">
        <f t="shared" si="1"/>
        <v>527.25694333398098</v>
      </c>
      <c r="AD17" s="29">
        <f t="shared" si="1"/>
        <v>708.25940856686248</v>
      </c>
      <c r="AE17" s="29">
        <f t="shared" si="1"/>
        <v>887.9719405053778</v>
      </c>
      <c r="AF17" s="29">
        <f t="shared" si="1"/>
        <v>1066.6718589177478</v>
      </c>
      <c r="AG17" s="29">
        <f t="shared" si="1"/>
        <v>1245.5484258731835</v>
      </c>
      <c r="AH17" s="29">
        <f t="shared" si="1"/>
        <v>1423.2545669505328</v>
      </c>
      <c r="AI17" s="29">
        <f t="shared" si="1"/>
        <v>1599.6374801700892</v>
      </c>
      <c r="AJ17" s="29">
        <f t="shared" si="1"/>
        <v>1776.4059578927674</v>
      </c>
      <c r="AK17" s="29">
        <f t="shared" si="1"/>
        <v>1951.9031075268563</v>
      </c>
      <c r="AL17" s="29">
        <f t="shared" si="1"/>
        <v>2126.4029658313416</v>
      </c>
      <c r="AM17" s="29">
        <f t="shared" si="1"/>
        <v>2301.0806955804537</v>
      </c>
      <c r="AN17" s="29">
        <f t="shared" si="1"/>
        <v>2464.3753314951259</v>
      </c>
      <c r="AO17" s="29">
        <f t="shared" si="1"/>
        <v>2646.2256129347188</v>
      </c>
      <c r="AP17" s="29">
        <f t="shared" si="1"/>
        <v>2826.7390599325081</v>
      </c>
      <c r="AQ17" s="29">
        <f t="shared" si="1"/>
        <v>3007.7091832238207</v>
      </c>
      <c r="AR17" s="29">
        <f t="shared" si="1"/>
        <v>3187.0812312370708</v>
      </c>
      <c r="AS17" s="29">
        <f t="shared" si="1"/>
        <v>3366.0481433371133</v>
      </c>
      <c r="AT17" s="29">
        <f t="shared" si="1"/>
        <v>3543.9881265775648</v>
      </c>
      <c r="AU17" s="29">
        <f t="shared" si="1"/>
        <v>3721.4184085534562</v>
      </c>
      <c r="AV17" s="29">
        <f t="shared" si="1"/>
        <v>3897.9486109730656</v>
      </c>
      <c r="AW17" s="29">
        <f t="shared" si="1"/>
        <v>4074.3141595041693</v>
      </c>
      <c r="AX17" s="29">
        <f t="shared" si="1"/>
        <v>4249.7224247551094</v>
      </c>
      <c r="AY17" s="29">
        <f t="shared" si="1"/>
        <v>4424.1169111144227</v>
      </c>
    </row>
    <row r="18" spans="1:51" x14ac:dyDescent="0.35">
      <c r="A18" s="37" t="s">
        <v>219</v>
      </c>
      <c r="B18" s="70" t="s">
        <v>81</v>
      </c>
      <c r="C18" s="39">
        <f>AY18</f>
        <v>-1261.4564890869042</v>
      </c>
      <c r="D18" s="39">
        <f>D17</f>
        <v>-6839.6748084918145</v>
      </c>
      <c r="E18" s="39">
        <f t="shared" ref="E18:AY18" si="2">D18+E17</f>
        <v>-12807.776161563976</v>
      </c>
      <c r="F18" s="39">
        <f t="shared" si="2"/>
        <v>-18315.91345164333</v>
      </c>
      <c r="G18" s="39">
        <f t="shared" si="2"/>
        <v>-23375.977703587097</v>
      </c>
      <c r="H18" s="39">
        <f t="shared" si="2"/>
        <v>-28001.472499728661</v>
      </c>
      <c r="I18" s="39">
        <f t="shared" si="2"/>
        <v>-32204.668301254442</v>
      </c>
      <c r="J18" s="39">
        <f t="shared" si="2"/>
        <v>-35997.563308030367</v>
      </c>
      <c r="K18" s="39">
        <f t="shared" si="2"/>
        <v>-39391.003624270845</v>
      </c>
      <c r="L18" s="39">
        <f t="shared" si="2"/>
        <v>-42397.357758617152</v>
      </c>
      <c r="M18" s="39">
        <f t="shared" si="2"/>
        <v>-45027.839091727343</v>
      </c>
      <c r="N18" s="39">
        <f t="shared" si="2"/>
        <v>-47293.409857088744</v>
      </c>
      <c r="O18" s="39">
        <f t="shared" si="2"/>
        <v>-49203.120312718769</v>
      </c>
      <c r="P18" s="39">
        <f t="shared" si="2"/>
        <v>-50970.568705868973</v>
      </c>
      <c r="Q18" s="39">
        <f t="shared" si="2"/>
        <v>-52556.78267024758</v>
      </c>
      <c r="R18" s="39">
        <f t="shared" si="2"/>
        <v>-53963.370965556533</v>
      </c>
      <c r="S18" s="39">
        <f t="shared" si="2"/>
        <v>-55190.010244101883</v>
      </c>
      <c r="T18" s="39">
        <f t="shared" si="2"/>
        <v>-56238.629814579595</v>
      </c>
      <c r="U18" s="39">
        <f t="shared" si="2"/>
        <v>-57108.805065839042</v>
      </c>
      <c r="V18" s="39">
        <f t="shared" si="2"/>
        <v>-57802.130016313538</v>
      </c>
      <c r="W18" s="39">
        <f t="shared" si="2"/>
        <v>-58318.394496285924</v>
      </c>
      <c r="X18" s="39">
        <f t="shared" si="2"/>
        <v>-58659.185187603682</v>
      </c>
      <c r="Y18" s="39">
        <f t="shared" si="2"/>
        <v>-58824.291742180605</v>
      </c>
      <c r="Z18" s="39">
        <f t="shared" si="2"/>
        <v>-58815.181580017299</v>
      </c>
      <c r="AA18" s="39">
        <f t="shared" si="2"/>
        <v>-58631.967567566193</v>
      </c>
      <c r="AB18" s="39">
        <f t="shared" si="2"/>
        <v>-58285.537043874247</v>
      </c>
      <c r="AC18" s="39">
        <f t="shared" si="2"/>
        <v>-57758.280100540265</v>
      </c>
      <c r="AD18" s="39">
        <f t="shared" si="2"/>
        <v>-57050.020691973405</v>
      </c>
      <c r="AE18" s="39">
        <f t="shared" si="2"/>
        <v>-56162.048751468028</v>
      </c>
      <c r="AF18" s="39">
        <f t="shared" si="2"/>
        <v>-55095.376892550281</v>
      </c>
      <c r="AG18" s="39">
        <f t="shared" si="2"/>
        <v>-53849.8284666771</v>
      </c>
      <c r="AH18" s="39">
        <f t="shared" si="2"/>
        <v>-52426.573899726565</v>
      </c>
      <c r="AI18" s="39">
        <f t="shared" si="2"/>
        <v>-50826.936419556478</v>
      </c>
      <c r="AJ18" s="39">
        <f t="shared" si="2"/>
        <v>-49050.530461663708</v>
      </c>
      <c r="AK18" s="39">
        <f t="shared" si="2"/>
        <v>-47098.62735413685</v>
      </c>
      <c r="AL18" s="39">
        <f t="shared" si="2"/>
        <v>-44972.224388305505</v>
      </c>
      <c r="AM18" s="39">
        <f t="shared" si="2"/>
        <v>-42671.143692725054</v>
      </c>
      <c r="AN18" s="39">
        <f t="shared" si="2"/>
        <v>-40206.76836122993</v>
      </c>
      <c r="AO18" s="39">
        <f t="shared" si="2"/>
        <v>-37560.542748295207</v>
      </c>
      <c r="AP18" s="39">
        <f t="shared" si="2"/>
        <v>-34733.803688362699</v>
      </c>
      <c r="AQ18" s="39">
        <f t="shared" si="2"/>
        <v>-31726.094505138877</v>
      </c>
      <c r="AR18" s="39">
        <f t="shared" si="2"/>
        <v>-28539.013273901808</v>
      </c>
      <c r="AS18" s="39">
        <f t="shared" si="2"/>
        <v>-25172.965130564695</v>
      </c>
      <c r="AT18" s="39">
        <f t="shared" si="2"/>
        <v>-21628.977003987129</v>
      </c>
      <c r="AU18" s="39">
        <f t="shared" si="2"/>
        <v>-17907.558595433671</v>
      </c>
      <c r="AV18" s="39">
        <f t="shared" si="2"/>
        <v>-14009.609984460605</v>
      </c>
      <c r="AW18" s="39">
        <f t="shared" si="2"/>
        <v>-9935.2958249564363</v>
      </c>
      <c r="AX18" s="39">
        <f t="shared" si="2"/>
        <v>-5685.5734002013269</v>
      </c>
      <c r="AY18" s="39">
        <f t="shared" si="2"/>
        <v>-1261.4564890869042</v>
      </c>
    </row>
    <row r="20" spans="1:51" ht="16" customHeight="1" x14ac:dyDescent="0.35">
      <c r="A20" s="66" t="s">
        <v>220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</row>
    <row r="22" spans="1:51" x14ac:dyDescent="0.35">
      <c r="A22" s="35" t="s">
        <v>221</v>
      </c>
      <c r="C22" s="36">
        <f>AY12*12*(1+WACC!$B$21)/(НАСТРОЙКИ!$B$37-WACC!$B$21)</f>
        <v>736736.65182296885</v>
      </c>
      <c r="D22" s="40" t="s">
        <v>222</v>
      </c>
    </row>
    <row r="23" spans="1:51" x14ac:dyDescent="0.35">
      <c r="A23" s="35" t="s">
        <v>223</v>
      </c>
      <c r="C23" s="36">
        <f>IFERROR(C22/(1+НАСТРОЙКИ!$B$37/12)^48,0)</f>
        <v>354606.43313364848</v>
      </c>
      <c r="D23" s="40" t="s">
        <v>224</v>
      </c>
    </row>
    <row r="24" spans="1:51" x14ac:dyDescent="0.35">
      <c r="A24" s="71" t="s">
        <v>225</v>
      </c>
      <c r="C24" s="72">
        <f>AY18+$C$23</f>
        <v>353344.97664456157</v>
      </c>
    </row>
    <row r="25" spans="1:51" x14ac:dyDescent="0.35">
      <c r="A25" s="71" t="s">
        <v>226</v>
      </c>
      <c r="C25" s="72">
        <f>$C$24+НАСТРОЙКИ!$B$18</f>
        <v>401344.97664456157</v>
      </c>
    </row>
    <row r="27" spans="1:51" ht="16" customHeight="1" x14ac:dyDescent="0.35">
      <c r="A27" s="66" t="s">
        <v>227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</row>
    <row r="28" spans="1:51" x14ac:dyDescent="0.35">
      <c r="A28" s="27" t="s">
        <v>228</v>
      </c>
      <c r="C28" s="73">
        <f>IFERROR(IRR(D12:AY12,0.01),0)</f>
        <v>1.4683371867217909E-2</v>
      </c>
    </row>
    <row r="29" spans="1:51" x14ac:dyDescent="0.35">
      <c r="A29" s="71" t="s">
        <v>229</v>
      </c>
      <c r="C29" s="74">
        <f>(1+$C$28)^12-1</f>
        <v>0.19115018118840665</v>
      </c>
    </row>
    <row r="30" spans="1:51" x14ac:dyDescent="0.35">
      <c r="A30" s="27" t="s">
        <v>230</v>
      </c>
      <c r="C30" s="34">
        <f>IFERROR(($C$24+НАСТРОЙКИ!$B$16)/НАСТРОЙКИ!$B$16,0)</f>
        <v>6.8890829440760264</v>
      </c>
    </row>
  </sheetData>
  <mergeCells count="1">
    <mergeCell ref="A1:AY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00"/>
  </sheetPr>
  <dimension ref="A1:D32"/>
  <sheetViews>
    <sheetView workbookViewId="0">
      <pane ySplit="2" topLeftCell="A3" activePane="bottomLeft" state="frozen"/>
      <selection pane="bottomLeft" sqref="A1:D1"/>
    </sheetView>
  </sheetViews>
  <sheetFormatPr defaultRowHeight="14.5" x14ac:dyDescent="0.35"/>
  <cols>
    <col min="1" max="1" width="50" customWidth="1"/>
    <col min="2" max="2" width="20" customWidth="1"/>
    <col min="3" max="3" width="18" customWidth="1"/>
    <col min="4" max="4" width="22" customWidth="1"/>
  </cols>
  <sheetData>
    <row r="1" spans="1:4" ht="30" customHeight="1" x14ac:dyDescent="0.35">
      <c r="A1" s="99" t="s">
        <v>231</v>
      </c>
      <c r="B1" s="93"/>
      <c r="C1" s="93"/>
      <c r="D1" s="93"/>
    </row>
    <row r="3" spans="1:4" ht="16" customHeight="1" x14ac:dyDescent="0.35">
      <c r="A3" s="75" t="s">
        <v>232</v>
      </c>
      <c r="B3" s="5"/>
      <c r="C3" s="5"/>
      <c r="D3" s="5"/>
    </row>
    <row r="4" spans="1:4" x14ac:dyDescent="0.35">
      <c r="A4" s="76" t="s">
        <v>233</v>
      </c>
      <c r="B4" s="77">
        <f>DCF!$C$24</f>
        <v>353344.97664456157</v>
      </c>
      <c r="C4" s="78" t="s">
        <v>81</v>
      </c>
      <c r="D4" s="9" t="s">
        <v>234</v>
      </c>
    </row>
    <row r="5" spans="1:4" x14ac:dyDescent="0.35">
      <c r="A5" s="76" t="s">
        <v>235</v>
      </c>
      <c r="B5" s="79">
        <f>DCF!$C$29</f>
        <v>0.19115018118840665</v>
      </c>
      <c r="C5" s="78" t="s">
        <v>118</v>
      </c>
      <c r="D5" s="9" t="s">
        <v>236</v>
      </c>
    </row>
    <row r="6" spans="1:4" x14ac:dyDescent="0.35">
      <c r="A6" s="76" t="s">
        <v>237</v>
      </c>
      <c r="B6" s="80">
        <f>DCF!$C$30</f>
        <v>6.8890829440760264</v>
      </c>
      <c r="C6" s="78" t="s">
        <v>238</v>
      </c>
      <c r="D6" s="9" t="s">
        <v>239</v>
      </c>
    </row>
    <row r="7" spans="1:4" x14ac:dyDescent="0.35">
      <c r="A7" s="81" t="s">
        <v>240</v>
      </c>
      <c r="B7" s="82">
        <f>IFERROR(MATCH(1,INDEX((ОДДС!$D$23:AY23&gt;=0)*1,),0),"&gt;"&amp;НАСТРОЙКИ!$B$7&amp;" мес.")</f>
        <v>1</v>
      </c>
      <c r="C7" s="78" t="s">
        <v>215</v>
      </c>
      <c r="D7" s="9" t="s">
        <v>241</v>
      </c>
    </row>
    <row r="8" spans="1:4" x14ac:dyDescent="0.35">
      <c r="A8" s="81" t="s">
        <v>242</v>
      </c>
      <c r="B8" s="83">
        <f>НАСТРОЙКИ!$B$16</f>
        <v>60000</v>
      </c>
      <c r="C8" s="78" t="s">
        <v>81</v>
      </c>
    </row>
    <row r="10" spans="1:4" ht="16" customHeight="1" x14ac:dyDescent="0.35">
      <c r="A10" s="75" t="s">
        <v>243</v>
      </c>
      <c r="B10" s="5"/>
      <c r="C10" s="5"/>
      <c r="D10" s="5"/>
    </row>
    <row r="11" spans="1:4" x14ac:dyDescent="0.35">
      <c r="A11" s="81" t="s">
        <v>244</v>
      </c>
      <c r="B11" s="83">
        <f>AVERAGE(ДОПУЩЕНИЯ!$P$30:$AY$30)</f>
        <v>3372.1393104717763</v>
      </c>
      <c r="C11" s="78" t="s">
        <v>245</v>
      </c>
    </row>
    <row r="12" spans="1:4" x14ac:dyDescent="0.35">
      <c r="A12" s="81" t="s">
        <v>246</v>
      </c>
      <c r="B12" s="84">
        <f>НАСТРОЙКИ!$B$34</f>
        <v>0.42</v>
      </c>
      <c r="C12" s="78" t="s">
        <v>118</v>
      </c>
    </row>
    <row r="13" spans="1:4" x14ac:dyDescent="0.35">
      <c r="A13" s="85" t="s">
        <v>247</v>
      </c>
      <c r="B13" s="86">
        <f>IFERROR(B11/(1-НАСТРОЙКИ!$B$34),0)</f>
        <v>5814.0332939168547</v>
      </c>
      <c r="C13" s="78" t="s">
        <v>245</v>
      </c>
      <c r="D13" s="9" t="s">
        <v>248</v>
      </c>
    </row>
    <row r="14" spans="1:4" x14ac:dyDescent="0.35">
      <c r="A14" s="81" t="s">
        <v>249</v>
      </c>
      <c r="B14" s="84">
        <f>IFERROR(B13/IFERROR(AVERAGE('P&amp;L'!$P$7:$AY$7),1),0)</f>
        <v>0.43251339105611369</v>
      </c>
      <c r="C14" s="78" t="s">
        <v>118</v>
      </c>
      <c r="D14" s="9" t="s">
        <v>250</v>
      </c>
    </row>
    <row r="16" spans="1:4" ht="16" customHeight="1" x14ac:dyDescent="0.35">
      <c r="A16" s="75" t="s">
        <v>251</v>
      </c>
      <c r="B16" s="5"/>
      <c r="C16" s="5"/>
      <c r="D16" s="5"/>
    </row>
    <row r="17" spans="1:4" x14ac:dyDescent="0.35">
      <c r="A17" s="81" t="s">
        <v>252</v>
      </c>
      <c r="B17" s="84">
        <f>IFERROR('P&amp;L'!$C$30/НАСТРОЙКИ!$B$16,0)</f>
        <v>1.0010268497686363</v>
      </c>
      <c r="C17" s="78" t="s">
        <v>118</v>
      </c>
      <c r="D17" s="9" t="s">
        <v>253</v>
      </c>
    </row>
    <row r="18" spans="1:4" x14ac:dyDescent="0.35">
      <c r="A18" s="81" t="s">
        <v>254</v>
      </c>
      <c r="B18" s="84">
        <f>IFERROR('P&amp;L'!$C$30*12/48/IFERROR(AVERAGE(БАЛАНС!$D$15:AY15),1),0)</f>
        <v>2.0844439563525126</v>
      </c>
      <c r="C18" s="78" t="s">
        <v>118</v>
      </c>
      <c r="D18" s="9" t="s">
        <v>255</v>
      </c>
    </row>
    <row r="19" spans="1:4" x14ac:dyDescent="0.35">
      <c r="A19" s="81" t="s">
        <v>256</v>
      </c>
      <c r="B19" s="84">
        <f>IFERROR('P&amp;L'!$C$30/'P&amp;L'!$C$7,0)</f>
        <v>0.12411278466093678</v>
      </c>
      <c r="C19" s="78" t="s">
        <v>118</v>
      </c>
      <c r="D19" s="9" t="s">
        <v>257</v>
      </c>
    </row>
    <row r="20" spans="1:4" x14ac:dyDescent="0.35">
      <c r="A20" s="81" t="s">
        <v>258</v>
      </c>
      <c r="B20" s="84">
        <f>IFERROR('P&amp;L'!$C$23/'P&amp;L'!$C$7,0)</f>
        <v>0.26880284369791896</v>
      </c>
      <c r="C20" s="78" t="s">
        <v>118</v>
      </c>
    </row>
    <row r="21" spans="1:4" x14ac:dyDescent="0.35">
      <c r="A21" s="81" t="s">
        <v>259</v>
      </c>
      <c r="B21" s="84">
        <f>IFERROR('P&amp;L'!$C$14/'P&amp;L'!$C$7,0)</f>
        <v>0.46708775744791758</v>
      </c>
      <c r="C21" s="78" t="s">
        <v>118</v>
      </c>
    </row>
    <row r="23" spans="1:4" ht="16" customHeight="1" x14ac:dyDescent="0.35">
      <c r="A23" s="75" t="s">
        <v>260</v>
      </c>
      <c r="B23" s="5"/>
      <c r="C23" s="5"/>
      <c r="D23" s="5"/>
    </row>
    <row r="24" spans="1:4" x14ac:dyDescent="0.35">
      <c r="A24" s="81" t="s">
        <v>261</v>
      </c>
      <c r="B24" s="83">
        <f>MIN(ОДДС!$D$23:AY23)</f>
        <v>-71531.010680394858</v>
      </c>
      <c r="C24" s="78" t="s">
        <v>81</v>
      </c>
      <c r="D24" s="9" t="s">
        <v>262</v>
      </c>
    </row>
    <row r="25" spans="1:4" x14ac:dyDescent="0.35">
      <c r="A25" s="81" t="s">
        <v>263</v>
      </c>
      <c r="B25" s="87">
        <f>IFERROR(БАЛАНС!$AY$19/БАЛАНС!$AY$25,0)</f>
        <v>0</v>
      </c>
      <c r="C25" s="78" t="s">
        <v>238</v>
      </c>
    </row>
    <row r="26" spans="1:4" x14ac:dyDescent="0.35">
      <c r="A26" s="81" t="s">
        <v>264</v>
      </c>
      <c r="B26" s="87">
        <f>IFERROR(IFERROR(AVERAGE('P&amp;L'!$P$25:$AY25),1)/IFERROR(AVERAGE('P&amp;L'!$P$27:$AY27),1),0)</f>
        <v>27.198713715347186</v>
      </c>
      <c r="C26" s="78" t="s">
        <v>238</v>
      </c>
      <c r="D26" s="9" t="s">
        <v>265</v>
      </c>
    </row>
    <row r="28" spans="1:4" ht="16" customHeight="1" x14ac:dyDescent="0.35">
      <c r="A28" s="75" t="s">
        <v>266</v>
      </c>
      <c r="B28" s="5"/>
      <c r="C28" s="88" t="s">
        <v>267</v>
      </c>
      <c r="D28" s="88" t="s">
        <v>268</v>
      </c>
    </row>
    <row r="29" spans="1:4" x14ac:dyDescent="0.35">
      <c r="A29" s="81" t="s">
        <v>269</v>
      </c>
      <c r="C29" s="89">
        <f>IFERROR('P&amp;L'!$C$30*12/48/IFERROR(AVERAGE(БАЛАНС!$D$15:AY15),1),0)</f>
        <v>2.0844439563525126</v>
      </c>
      <c r="D29" s="90">
        <f>НАСТРОЙКИ!$B$40</f>
        <v>-45.63</v>
      </c>
    </row>
    <row r="30" spans="1:4" x14ac:dyDescent="0.35">
      <c r="A30" s="81" t="s">
        <v>270</v>
      </c>
      <c r="C30" s="89">
        <f>IFERROR('P&amp;L'!$C$30/'P&amp;L'!$C$7,0)</f>
        <v>0.12411278466093678</v>
      </c>
      <c r="D30" s="90">
        <f>НАСТРОЙКИ!$B$41</f>
        <v>16.48</v>
      </c>
    </row>
    <row r="31" spans="1:4" x14ac:dyDescent="0.35">
      <c r="A31" s="81" t="s">
        <v>271</v>
      </c>
      <c r="C31" s="89">
        <f>IFERROR('P&amp;L'!$C$23/'P&amp;L'!$C$7,0)</f>
        <v>0.26880284369791896</v>
      </c>
      <c r="D31" s="90">
        <f>НАСТРОЙКИ!$B$41</f>
        <v>16.48</v>
      </c>
    </row>
    <row r="32" spans="1:4" x14ac:dyDescent="0.35">
      <c r="A32" s="81" t="s">
        <v>272</v>
      </c>
      <c r="C32" s="91">
        <f>IFERROR(БАЛАНС!$AY$19/БАЛАНС!$AY$25,0)</f>
        <v>0</v>
      </c>
      <c r="D32" s="90">
        <f>НАСТРОЙКИ!$B$45</f>
        <v>149.99</v>
      </c>
    </row>
  </sheetData>
  <mergeCells count="1">
    <mergeCell ref="A1:D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F4E79"/>
  </sheetPr>
  <dimension ref="A1:AY57"/>
  <sheetViews>
    <sheetView showGridLines="0" topLeftCell="A29" zoomScale="90" workbookViewId="0">
      <selection activeCell="J48" sqref="J48"/>
    </sheetView>
  </sheetViews>
  <sheetFormatPr defaultRowHeight="14.5" x14ac:dyDescent="0.35"/>
  <cols>
    <col min="1" max="1" width="2" customWidth="1"/>
    <col min="2" max="11" width="9" customWidth="1"/>
    <col min="12" max="12" width="2" customWidth="1"/>
    <col min="13" max="22" width="9" customWidth="1"/>
    <col min="23" max="23" width="2" customWidth="1"/>
    <col min="24" max="51" width="10.1796875" bestFit="1" customWidth="1"/>
  </cols>
  <sheetData>
    <row r="1" spans="1:23" ht="34" customHeight="1" x14ac:dyDescent="0.35">
      <c r="A1" s="92" t="s">
        <v>273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4" customHeight="1" x14ac:dyDescent="0.35"/>
    <row r="3" spans="1:23" ht="14" customHeight="1" x14ac:dyDescent="0.35">
      <c r="B3" s="101" t="s">
        <v>274</v>
      </c>
      <c r="C3" s="93"/>
      <c r="D3" s="93"/>
      <c r="E3" s="93"/>
      <c r="F3" s="93"/>
      <c r="G3" s="101" t="s">
        <v>275</v>
      </c>
      <c r="H3" s="93"/>
      <c r="I3" s="93"/>
      <c r="J3" s="93"/>
      <c r="K3" s="93"/>
      <c r="M3" s="101" t="s">
        <v>276</v>
      </c>
      <c r="N3" s="93"/>
      <c r="O3" s="93"/>
      <c r="P3" s="93"/>
      <c r="Q3" s="93"/>
      <c r="R3" s="101" t="s">
        <v>277</v>
      </c>
      <c r="S3" s="93"/>
      <c r="T3" s="93"/>
      <c r="U3" s="93"/>
      <c r="V3" s="93"/>
    </row>
    <row r="4" spans="1:23" ht="28" customHeight="1" x14ac:dyDescent="0.35">
      <c r="B4" s="100">
        <f>DCF!$C$24</f>
        <v>353344.97664456157</v>
      </c>
      <c r="C4" s="93"/>
      <c r="D4" s="93"/>
      <c r="E4" s="93"/>
      <c r="F4" s="93"/>
      <c r="G4" s="107">
        <f>DCF!$C$29</f>
        <v>0.19115018118840665</v>
      </c>
      <c r="H4" s="93"/>
      <c r="I4" s="93"/>
      <c r="J4" s="93"/>
      <c r="K4" s="93"/>
      <c r="M4" s="108">
        <f>DCF!$C$30</f>
        <v>6.8890829440760264</v>
      </c>
      <c r="N4" s="93"/>
      <c r="O4" s="93"/>
      <c r="P4" s="93"/>
      <c r="Q4" s="93"/>
      <c r="R4" s="106" t="str">
        <f>IF(ISNUMBER(ИТОГИ!$B$7),ИТОГИ!$B$7&amp;" мес.",ИТОГИ!$B$7)</f>
        <v>1 мес.</v>
      </c>
      <c r="S4" s="93"/>
      <c r="T4" s="93"/>
      <c r="U4" s="93"/>
      <c r="V4" s="93"/>
    </row>
    <row r="5" spans="1:23" ht="8" customHeight="1" x14ac:dyDescent="0.35"/>
    <row r="6" spans="1:23" ht="22" customHeight="1" x14ac:dyDescent="0.35">
      <c r="B6" s="105" t="s">
        <v>278</v>
      </c>
      <c r="C6" s="93"/>
      <c r="D6" s="93"/>
      <c r="E6" s="93"/>
      <c r="F6" s="93"/>
      <c r="G6" s="93"/>
      <c r="H6" s="93"/>
      <c r="I6" s="93"/>
      <c r="J6" s="93"/>
      <c r="K6" s="93"/>
      <c r="M6" s="104" t="s">
        <v>279</v>
      </c>
      <c r="N6" s="93"/>
      <c r="O6" s="93"/>
      <c r="P6" s="93"/>
      <c r="Q6" s="93"/>
      <c r="R6" s="93"/>
      <c r="S6" s="93"/>
      <c r="T6" s="93"/>
      <c r="U6" s="93"/>
      <c r="V6" s="93"/>
    </row>
    <row r="26" spans="2:22" ht="8" customHeight="1" x14ac:dyDescent="0.35"/>
    <row r="27" spans="2:22" ht="22" customHeight="1" x14ac:dyDescent="0.35">
      <c r="B27" s="103" t="s">
        <v>280</v>
      </c>
      <c r="C27" s="93"/>
      <c r="D27" s="93"/>
      <c r="E27" s="93"/>
      <c r="F27" s="93"/>
      <c r="G27" s="93"/>
      <c r="H27" s="93"/>
      <c r="I27" s="93"/>
      <c r="J27" s="93"/>
      <c r="K27" s="93"/>
      <c r="M27" s="102" t="s">
        <v>281</v>
      </c>
      <c r="N27" s="93"/>
      <c r="O27" s="93"/>
      <c r="P27" s="93"/>
      <c r="Q27" s="93"/>
      <c r="R27" s="93"/>
      <c r="S27" s="93"/>
      <c r="T27" s="93"/>
      <c r="U27" s="93"/>
      <c r="V27" s="93"/>
    </row>
    <row r="50" spans="1:51" s="110" customFormat="1" ht="11" customHeight="1" x14ac:dyDescent="0.35">
      <c r="A50" s="109" t="s">
        <v>282</v>
      </c>
      <c r="D50" s="110">
        <v>1</v>
      </c>
      <c r="E50" s="110">
        <v>2</v>
      </c>
      <c r="F50" s="110">
        <v>3</v>
      </c>
      <c r="G50" s="110">
        <v>4</v>
      </c>
      <c r="H50" s="110">
        <v>5</v>
      </c>
      <c r="I50" s="110">
        <v>6</v>
      </c>
      <c r="J50" s="110">
        <v>7</v>
      </c>
      <c r="K50" s="110">
        <v>8</v>
      </c>
      <c r="L50" s="110">
        <v>9</v>
      </c>
      <c r="M50" s="110">
        <v>10</v>
      </c>
      <c r="N50" s="110">
        <v>11</v>
      </c>
      <c r="O50" s="110">
        <v>12</v>
      </c>
      <c r="P50" s="110">
        <v>13</v>
      </c>
      <c r="Q50" s="110">
        <v>14</v>
      </c>
      <c r="R50" s="110">
        <v>15</v>
      </c>
      <c r="S50" s="110">
        <v>16</v>
      </c>
      <c r="T50" s="110">
        <v>17</v>
      </c>
      <c r="U50" s="110">
        <v>18</v>
      </c>
      <c r="V50" s="110">
        <v>19</v>
      </c>
      <c r="W50" s="110">
        <v>20</v>
      </c>
      <c r="X50" s="110">
        <v>21</v>
      </c>
      <c r="Y50" s="110">
        <v>22</v>
      </c>
      <c r="Z50" s="110">
        <v>23</v>
      </c>
      <c r="AA50" s="110">
        <v>24</v>
      </c>
      <c r="AB50" s="110">
        <v>25</v>
      </c>
      <c r="AC50" s="110">
        <v>26</v>
      </c>
      <c r="AD50" s="110">
        <v>27</v>
      </c>
      <c r="AE50" s="110">
        <v>28</v>
      </c>
      <c r="AF50" s="110">
        <v>29</v>
      </c>
      <c r="AG50" s="110">
        <v>30</v>
      </c>
      <c r="AH50" s="110">
        <v>31</v>
      </c>
      <c r="AI50" s="110">
        <v>32</v>
      </c>
      <c r="AJ50" s="110">
        <v>33</v>
      </c>
      <c r="AK50" s="110">
        <v>34</v>
      </c>
      <c r="AL50" s="110">
        <v>35</v>
      </c>
      <c r="AM50" s="110">
        <v>36</v>
      </c>
      <c r="AN50" s="110">
        <v>37</v>
      </c>
      <c r="AO50" s="110">
        <v>38</v>
      </c>
      <c r="AP50" s="110">
        <v>39</v>
      </c>
      <c r="AQ50" s="110">
        <v>40</v>
      </c>
      <c r="AR50" s="110">
        <v>41</v>
      </c>
      <c r="AS50" s="110">
        <v>42</v>
      </c>
      <c r="AT50" s="110">
        <v>43</v>
      </c>
      <c r="AU50" s="110">
        <v>44</v>
      </c>
      <c r="AV50" s="110">
        <v>45</v>
      </c>
      <c r="AW50" s="110">
        <v>46</v>
      </c>
      <c r="AX50" s="110">
        <v>47</v>
      </c>
      <c r="AY50" s="110">
        <v>48</v>
      </c>
    </row>
    <row r="51" spans="1:51" s="110" customFormat="1" ht="11" customHeight="1" x14ac:dyDescent="0.35">
      <c r="A51" s="109" t="s">
        <v>283</v>
      </c>
      <c r="D51" s="110">
        <f>'P&amp;L'!$D$7</f>
        <v>0</v>
      </c>
      <c r="E51" s="110">
        <f>'P&amp;L'!$E$7</f>
        <v>0</v>
      </c>
      <c r="F51" s="110">
        <f>'P&amp;L'!$F$7</f>
        <v>0</v>
      </c>
      <c r="G51" s="110">
        <f>'P&amp;L'!$G$7</f>
        <v>0</v>
      </c>
      <c r="H51" s="110">
        <f>'P&amp;L'!$H$7</f>
        <v>0</v>
      </c>
      <c r="I51" s="110">
        <f>'P&amp;L'!$I$7</f>
        <v>0</v>
      </c>
      <c r="J51" s="110">
        <f>'P&amp;L'!$J$7</f>
        <v>0</v>
      </c>
      <c r="K51" s="110">
        <f>'P&amp;L'!$K$7</f>
        <v>0</v>
      </c>
      <c r="L51" s="110">
        <f>'P&amp;L'!$L$7</f>
        <v>0</v>
      </c>
      <c r="M51" s="110">
        <f>'P&amp;L'!$M$7</f>
        <v>0</v>
      </c>
      <c r="N51" s="110">
        <f>'P&amp;L'!$N$7</f>
        <v>0</v>
      </c>
      <c r="O51" s="110">
        <f>'P&amp;L'!$O$7</f>
        <v>0</v>
      </c>
      <c r="P51" s="110">
        <f>'P&amp;L'!$P$7</f>
        <v>514.83788917933339</v>
      </c>
      <c r="Q51" s="110">
        <f>'P&amp;L'!$Q$7</f>
        <v>1042.5851369946399</v>
      </c>
      <c r="R51" s="110">
        <f>'P&amp;L'!$R$7</f>
        <v>1585.1446984478719</v>
      </c>
      <c r="S51" s="110">
        <f>'P&amp;L'!$S$7</f>
        <v>2140.8405641615932</v>
      </c>
      <c r="T51" s="110">
        <f>'P&amp;L'!$T$7</f>
        <v>2712.2350730651024</v>
      </c>
      <c r="U51" s="110">
        <f>'P&amp;L'!$U$7</f>
        <v>3297.6219264002993</v>
      </c>
      <c r="V51" s="110">
        <f>'P&amp;L'!$V$7</f>
        <v>3899.0126926092585</v>
      </c>
      <c r="W51" s="110">
        <f>'P&amp;L'!$W$7</f>
        <v>4514.9668531513871</v>
      </c>
      <c r="X51" s="110">
        <f>'P&amp;L'!$X$7</f>
        <v>5147.552581681899</v>
      </c>
      <c r="Y51" s="110">
        <f>'P&amp;L'!$Y$7</f>
        <v>5795.2933302597939</v>
      </c>
      <c r="Z51" s="110">
        <f>'P&amp;L'!$Z$7</f>
        <v>6459.9808939670438</v>
      </c>
      <c r="AA51" s="110">
        <f>'P&amp;L'!$AA$7</f>
        <v>7140.7664847242941</v>
      </c>
      <c r="AB51" s="110">
        <f>'P&amp;L'!$AB$7</f>
        <v>7868.8594419330529</v>
      </c>
      <c r="AC51" s="110">
        <f>'P&amp;L'!$AC$7</f>
        <v>8616.0595955388162</v>
      </c>
      <c r="AD51" s="110">
        <f>'P&amp;L'!$AD$7</f>
        <v>9380.8125130427543</v>
      </c>
      <c r="AE51" s="110">
        <f>'P&amp;L'!$AE$7</f>
        <v>10164.427097752032</v>
      </c>
      <c r="AF51" s="110">
        <f>'P&amp;L'!$AF$7</f>
        <v>10968.270174071651</v>
      </c>
      <c r="AG51" s="110">
        <f>'P&amp;L'!$AG$7</f>
        <v>11790.7289231084</v>
      </c>
      <c r="AH51" s="110">
        <f>'P&amp;L'!$AH$7</f>
        <v>12632.798019075915</v>
      </c>
      <c r="AI51" s="110">
        <f>'P&amp;L'!$AI$7</f>
        <v>13496.643423043788</v>
      </c>
      <c r="AJ51" s="110">
        <f>'P&amp;L'!$AJ$7</f>
        <v>14380.22467222739</v>
      </c>
      <c r="AK51" s="110">
        <f>'P&amp;L'!$AK$7</f>
        <v>15284.968684780686</v>
      </c>
      <c r="AL51" s="110">
        <f>'P&amp;L'!$AL$7</f>
        <v>16212.365220866337</v>
      </c>
      <c r="AM51" s="110">
        <f>'P&amp;L'!$AM$7</f>
        <v>17160.678069218746</v>
      </c>
      <c r="AN51" s="110">
        <f>'P&amp;L'!$AN$7</f>
        <v>18168.835693277382</v>
      </c>
      <c r="AO51" s="110">
        <f>'P&amp;L'!$AO$7</f>
        <v>19200.418624427039</v>
      </c>
      <c r="AP51" s="110">
        <f>'P&amp;L'!$AP$7</f>
        <v>20257.835368229553</v>
      </c>
      <c r="AQ51" s="110">
        <f>'P&amp;L'!$AQ$7</f>
        <v>21338.460801725138</v>
      </c>
      <c r="AR51" s="110">
        <f>'P&amp;L'!$AR$7</f>
        <v>22444.726172483533</v>
      </c>
      <c r="AS51" s="110">
        <f>'P&amp;L'!$AS$7</f>
        <v>23576.268134969141</v>
      </c>
      <c r="AT51" s="110">
        <f>'P&amp;L'!$AT$7</f>
        <v>24734.430427783296</v>
      </c>
      <c r="AU51" s="110">
        <f>'P&amp;L'!$AU$7</f>
        <v>25919.285711848504</v>
      </c>
      <c r="AV51" s="110">
        <f>'P&amp;L'!$AV$7</f>
        <v>27132.127957239696</v>
      </c>
      <c r="AW51" s="110">
        <f>'P&amp;L'!$AW$7</f>
        <v>28371.906229632335</v>
      </c>
      <c r="AX51" s="110">
        <f>'P&amp;L'!$AX$7</f>
        <v>29639.461989651623</v>
      </c>
      <c r="AY51" s="110">
        <f>'P&amp;L'!$AY$7</f>
        <v>30936.241249411658</v>
      </c>
    </row>
    <row r="52" spans="1:51" s="110" customFormat="1" ht="11" customHeight="1" x14ac:dyDescent="0.35">
      <c r="A52" s="109" t="s">
        <v>284</v>
      </c>
      <c r="D52" s="110">
        <f>'P&amp;L'!$D$23</f>
        <v>-2260</v>
      </c>
      <c r="E52" s="110">
        <f>'P&amp;L'!$E$23</f>
        <v>-2290.1333333333337</v>
      </c>
      <c r="F52" s="110">
        <f>'P&amp;L'!$F$23</f>
        <v>-2320.6684444444445</v>
      </c>
      <c r="G52" s="110">
        <f>'P&amp;L'!$G$23</f>
        <v>-2351.6106903703712</v>
      </c>
      <c r="H52" s="110">
        <f>'P&amp;L'!$H$23</f>
        <v>-2382.9654995753094</v>
      </c>
      <c r="I52" s="110">
        <f>'P&amp;L'!$I$23</f>
        <v>-2414.7383729029807</v>
      </c>
      <c r="J52" s="110">
        <f>'P&amp;L'!$J$23</f>
        <v>-2446.9348845416871</v>
      </c>
      <c r="K52" s="110">
        <f>'P&amp;L'!$K$23</f>
        <v>-2479.560683002243</v>
      </c>
      <c r="L52" s="110">
        <f>'P&amp;L'!$L$23</f>
        <v>-2512.6214921089395</v>
      </c>
      <c r="M52" s="110">
        <f>'P&amp;L'!$M$23</f>
        <v>-2546.123112003726</v>
      </c>
      <c r="N52" s="110">
        <f>'P&amp;L'!$N$23</f>
        <v>-2580.0714201637757</v>
      </c>
      <c r="O52" s="110">
        <f>'P&amp;L'!$O$23</f>
        <v>-2614.4723724326259</v>
      </c>
      <c r="P52" s="110">
        <f>'P&amp;L'!$P$23</f>
        <v>-2350.7260283410483</v>
      </c>
      <c r="Q52" s="110">
        <f>'P&amp;L'!$Q$23</f>
        <v>-2079.9570513290382</v>
      </c>
      <c r="R52" s="110">
        <f>'P&amp;L'!$R$23</f>
        <v>-1801.0679247633095</v>
      </c>
      <c r="S52" s="110">
        <f>'P&amp;L'!$S$23</f>
        <v>-1515.037013980859</v>
      </c>
      <c r="T52" s="110">
        <f>'P&amp;L'!$T$23</f>
        <v>-1220.3845260327516</v>
      </c>
      <c r="U52" s="110">
        <f>'P&amp;L'!$U$23</f>
        <v>-918.10656267714467</v>
      </c>
      <c r="V52" s="110">
        <f>'P&amp;L'!$V$23</f>
        <v>-607.04294867580575</v>
      </c>
      <c r="W52" s="110">
        <f>'P&amp;L'!$W$23</f>
        <v>-288.03580636656034</v>
      </c>
      <c r="X52" s="110">
        <f>'P&amp;L'!$X$23</f>
        <v>40.107695098544355</v>
      </c>
      <c r="Y52" s="110">
        <f>'P&amp;L'!$Y$23</f>
        <v>376.52435857669707</v>
      </c>
      <c r="Z52" s="110">
        <f>'P&amp;L'!$Z$23</f>
        <v>722.24653522058202</v>
      </c>
      <c r="AA52" s="110">
        <f>'P&amp;L'!$AA$23</f>
        <v>1076.7749460827158</v>
      </c>
      <c r="AB52" s="110">
        <f>'P&amp;L'!$AB$23</f>
        <v>1458.2039330630314</v>
      </c>
      <c r="AC52" s="110">
        <f>'P&amp;L'!$AC$23</f>
        <v>1850.1702282442652</v>
      </c>
      <c r="AD52" s="110">
        <f>'P&amp;L'!$AD$23</f>
        <v>2251.7649959009723</v>
      </c>
      <c r="AE52" s="110">
        <f>'P&amp;L'!$AE$23</f>
        <v>2663.7400382101687</v>
      </c>
      <c r="AF52" s="110">
        <f>'P&amp;L'!$AF$23</f>
        <v>3086.8806534290675</v>
      </c>
      <c r="AG52" s="110">
        <f>'P&amp;L'!$AG$23</f>
        <v>3520.2438472366152</v>
      </c>
      <c r="AH52" s="110">
        <f>'P&amp;L'!$AH$23</f>
        <v>3964.3988705222232</v>
      </c>
      <c r="AI52" s="110">
        <f>'P&amp;L'!$AI$23</f>
        <v>4420.594218416365</v>
      </c>
      <c r="AJ52" s="110">
        <f>'P&amp;L'!$AJ$23</f>
        <v>4887.6385567168672</v>
      </c>
      <c r="AK52" s="110">
        <f>'P&amp;L'!$AK$23</f>
        <v>5366.351527288778</v>
      </c>
      <c r="AL52" s="110">
        <f>'P&amp;L'!$AL$23</f>
        <v>5857.5891140866679</v>
      </c>
      <c r="AM52" s="110">
        <f>'P&amp;L'!$AM$23</f>
        <v>6360.3361299441867</v>
      </c>
      <c r="AN52" s="110">
        <f>'P&amp;L'!$AN$23</f>
        <v>6897.162789895493</v>
      </c>
      <c r="AO52" s="110">
        <f>'P&amp;L'!$AO$23</f>
        <v>7446.9373977995547</v>
      </c>
      <c r="AP52" s="110">
        <f>'P&amp;L'!$AP$23</f>
        <v>8011.0483704801045</v>
      </c>
      <c r="AQ52" s="110">
        <f>'P&amp;L'!$AQ$23</f>
        <v>8587.9645066663034</v>
      </c>
      <c r="AR52" s="110">
        <f>'P&amp;L'!$AR$23</f>
        <v>9179.0871849283831</v>
      </c>
      <c r="AS52" s="110">
        <f>'P&amp;L'!$AS$23</f>
        <v>9784.1968032352088</v>
      </c>
      <c r="AT52" s="110">
        <f>'P&amp;L'!$AT$23</f>
        <v>10404.063750200126</v>
      </c>
      <c r="AU52" s="110">
        <f>'P&amp;L'!$AU$23</f>
        <v>11038.721069652423</v>
      </c>
      <c r="AV52" s="110">
        <f>'P&amp;L'!$AV$23</f>
        <v>11688.910043403052</v>
      </c>
      <c r="AW52" s="110">
        <f>'P&amp;L'!$AW$23</f>
        <v>12354.011785766837</v>
      </c>
      <c r="AX52" s="110">
        <f>'P&amp;L'!$AX$23</f>
        <v>13034.504875545757</v>
      </c>
      <c r="AY52" s="110">
        <f>'P&amp;L'!$AY$23</f>
        <v>13731.218405160547</v>
      </c>
    </row>
    <row r="53" spans="1:51" s="110" customFormat="1" ht="11" customHeight="1" x14ac:dyDescent="0.35">
      <c r="A53" s="109" t="s">
        <v>285</v>
      </c>
      <c r="D53" s="110">
        <f>'P&amp;L'!$D$30</f>
        <v>-3353.3333333333335</v>
      </c>
      <c r="E53" s="110">
        <f>'P&amp;L'!$E$30</f>
        <v>-3383.4666666666672</v>
      </c>
      <c r="F53" s="110">
        <f>'P&amp;L'!$F$30</f>
        <v>-3414.001777777778</v>
      </c>
      <c r="G53" s="110">
        <f>'P&amp;L'!$G$30</f>
        <v>-3444.9440237037047</v>
      </c>
      <c r="H53" s="110">
        <f>'P&amp;L'!$H$30</f>
        <v>-3476.2988329086429</v>
      </c>
      <c r="I53" s="110">
        <f>'P&amp;L'!$I$30</f>
        <v>-3508.0717062363142</v>
      </c>
      <c r="J53" s="110">
        <f>'P&amp;L'!$J$30</f>
        <v>-3540.2682178750206</v>
      </c>
      <c r="K53" s="110">
        <f>'P&amp;L'!$K$30</f>
        <v>-3541.2273496689099</v>
      </c>
      <c r="L53" s="110">
        <f>'P&amp;L'!$L$30</f>
        <v>-3542.6214921089395</v>
      </c>
      <c r="M53" s="110">
        <f>'P&amp;L'!$M$30</f>
        <v>-3544.4564453370594</v>
      </c>
      <c r="N53" s="110">
        <f>'P&amp;L'!$N$30</f>
        <v>-3546.7380868304426</v>
      </c>
      <c r="O53" s="110">
        <f>'P&amp;L'!$O$30</f>
        <v>-3549.4723724326259</v>
      </c>
      <c r="P53" s="110">
        <f>'P&amp;L'!$P$30</f>
        <v>-3254.0593616743818</v>
      </c>
      <c r="Q53" s="110">
        <f>'P&amp;L'!$Q$30</f>
        <v>-2951.6237179957052</v>
      </c>
      <c r="R53" s="110">
        <f>'P&amp;L'!$R$30</f>
        <v>-2641.0679247633093</v>
      </c>
      <c r="S53" s="110">
        <f>'P&amp;L'!$S$30</f>
        <v>-2323.3703473141923</v>
      </c>
      <c r="T53" s="110">
        <f>'P&amp;L'!$T$30</f>
        <v>-1997.0511926994182</v>
      </c>
      <c r="U53" s="110">
        <f>'P&amp;L'!$U$30</f>
        <v>-1663.1065626771447</v>
      </c>
      <c r="V53" s="110">
        <f>'P&amp;L'!$V$30</f>
        <v>-1320.376282009139</v>
      </c>
      <c r="W53" s="110">
        <f>'P&amp;L'!$W$30</f>
        <v>-969.70247303322685</v>
      </c>
      <c r="X53" s="110">
        <f>'P&amp;L'!$X$30</f>
        <v>-609.89230490145565</v>
      </c>
      <c r="Y53" s="110">
        <f>'P&amp;L'!$Y$30</f>
        <v>-241.80897475663625</v>
      </c>
      <c r="Z53" s="110">
        <f>'P&amp;L'!$Z$30</f>
        <v>101.68490141543651</v>
      </c>
      <c r="AA53" s="110">
        <f>'P&amp;L'!$AA$30</f>
        <v>391.33120956203697</v>
      </c>
      <c r="AB53" s="110">
        <f>'P&amp;L'!$AB$30</f>
        <v>701.15294979727355</v>
      </c>
      <c r="AC53" s="110">
        <f>'P&amp;L'!$AC$30</f>
        <v>1018.877671183199</v>
      </c>
      <c r="AD53" s="110">
        <f>'P&amp;L'!$AD$30</f>
        <v>1343.8237469257292</v>
      </c>
      <c r="AE53" s="110">
        <f>'P&amp;L'!$AE$30</f>
        <v>1676.5550286576263</v>
      </c>
      <c r="AF53" s="110">
        <f>'P&amp;L'!$AF$30</f>
        <v>2017.6604900718003</v>
      </c>
      <c r="AG53" s="110">
        <f>'P&amp;L'!$AG$30</f>
        <v>2366.4328854274613</v>
      </c>
      <c r="AH53" s="110">
        <f>'P&amp;L'!$AH$30</f>
        <v>2723.2991528916673</v>
      </c>
      <c r="AI53" s="110">
        <f>'P&amp;L'!$AI$30</f>
        <v>3065.4456638122738</v>
      </c>
      <c r="AJ53" s="110">
        <f>'P&amp;L'!$AJ$30</f>
        <v>3415.7289175376509</v>
      </c>
      <c r="AK53" s="110">
        <f>'P&amp;L'!$AK$30</f>
        <v>3774.7636454665835</v>
      </c>
      <c r="AL53" s="110">
        <f>'P&amp;L'!$AL$30</f>
        <v>4143.1918355650014</v>
      </c>
      <c r="AM53" s="110">
        <f>'P&amp;L'!$AM$30</f>
        <v>4520.2520974581403</v>
      </c>
      <c r="AN53" s="110">
        <f>'P&amp;L'!$AN$30</f>
        <v>4922.8720924216195</v>
      </c>
      <c r="AO53" s="110">
        <f>'P&amp;L'!$AO$30</f>
        <v>5335.2030483496665</v>
      </c>
      <c r="AP53" s="110">
        <f>'P&amp;L'!$AP$30</f>
        <v>5758.2862778600784</v>
      </c>
      <c r="AQ53" s="110">
        <f>'P&amp;L'!$AQ$30</f>
        <v>6190.9733799997266</v>
      </c>
      <c r="AR53" s="110">
        <f>'P&amp;L'!$AR$30</f>
        <v>6634.3153886962864</v>
      </c>
      <c r="AS53" s="110">
        <f>'P&amp;L'!$AS$30</f>
        <v>7088.1476024264066</v>
      </c>
      <c r="AT53" s="110">
        <f>'P&amp;L'!$AT$30</f>
        <v>7553.0478126500948</v>
      </c>
      <c r="AU53" s="110">
        <f>'P&amp;L'!$AU$30</f>
        <v>8029.0408022393167</v>
      </c>
      <c r="AV53" s="110">
        <f>'P&amp;L'!$AV$30</f>
        <v>8516.6825325522877</v>
      </c>
      <c r="AW53" s="110">
        <f>'P&amp;L'!$AW$30</f>
        <v>9015.5088393251281</v>
      </c>
      <c r="AX53" s="110">
        <f>'P&amp;L'!$AX$30</f>
        <v>9525.8786566593171</v>
      </c>
      <c r="AY53" s="110">
        <f>'P&amp;L'!$AY$30</f>
        <v>10048.41380387041</v>
      </c>
    </row>
    <row r="54" spans="1:51" s="110" customFormat="1" ht="11" customHeight="1" x14ac:dyDescent="0.35">
      <c r="A54" s="109" t="s">
        <v>286</v>
      </c>
      <c r="D54" s="110">
        <f>ОДДС!$D$23</f>
        <v>51647</v>
      </c>
      <c r="E54" s="110">
        <f>ОДДС!$E$23</f>
        <v>44078.400000000001</v>
      </c>
      <c r="F54" s="110">
        <f>ОДДС!$F$23</f>
        <v>36889.192000000003</v>
      </c>
      <c r="G54" s="110">
        <f>ОДДС!$G$23</f>
        <v>30079.967893333334</v>
      </c>
      <c r="H54" s="110">
        <f>ОДДС!$H$23</f>
        <v>23649.314131911109</v>
      </c>
      <c r="I54" s="110">
        <f>ОДДС!$I$23</f>
        <v>17596.811653669924</v>
      </c>
      <c r="J54" s="110">
        <f>ОДДС!$J$23</f>
        <v>9922.0358090521877</v>
      </c>
      <c r="K54" s="110">
        <f>ОДДС!$K$23</f>
        <v>2657.2229531728826</v>
      </c>
      <c r="L54" s="110">
        <f>ОДДС!$L$23</f>
        <v>-4199.0629630070362</v>
      </c>
      <c r="M54" s="110">
        <f>ОДДС!$M$23</f>
        <v>-10647.263802513799</v>
      </c>
      <c r="N54" s="110">
        <f>ОДДС!$N$23</f>
        <v>-16687.827319880649</v>
      </c>
      <c r="O54" s="110">
        <f>ОДДС!$O$23</f>
        <v>-22319.207239701282</v>
      </c>
      <c r="P54" s="110">
        <f>ОДДС!$P$23</f>
        <v>-27714.759839659815</v>
      </c>
      <c r="Q54" s="110">
        <f>ОДДС!$Q$23</f>
        <v>-32819.708633531263</v>
      </c>
      <c r="R54" s="110">
        <f>ОДДС!$R$23</f>
        <v>-37627.666285096791</v>
      </c>
      <c r="S54" s="110">
        <f>ОДДС!$S$23</f>
        <v>-42129.966980879755</v>
      </c>
      <c r="T54" s="110">
        <f>ОДДС!$T$23</f>
        <v>-46320.322026604023</v>
      </c>
      <c r="U54" s="110">
        <f>ОДДС!$U$23</f>
        <v>-50189.554384848932</v>
      </c>
      <c r="V54" s="110">
        <f>ОДДС!$V$23</f>
        <v>-53730.710117705836</v>
      </c>
      <c r="W54" s="110">
        <f>ОДДС!$W$23</f>
        <v>-56934.536026255759</v>
      </c>
      <c r="X54" s="110">
        <f>ОДДС!$X$23</f>
        <v>-59793.779006646764</v>
      </c>
      <c r="Y54" s="110">
        <f>ОДДС!$Y$23</f>
        <v>-62298.823471747535</v>
      </c>
      <c r="Z54" s="110">
        <f>ОДДС!$Z$23</f>
        <v>-64475.890659010234</v>
      </c>
      <c r="AA54" s="110">
        <f>ОДДС!$AA$23</f>
        <v>-66378.057005929004</v>
      </c>
      <c r="AB54" s="110">
        <f>ОДДС!$AB$23</f>
        <v>-68013.548862779746</v>
      </c>
      <c r="AC54" s="110">
        <f>ОДДС!$AC$23</f>
        <v>-69348.802394284779</v>
      </c>
      <c r="AD54" s="110">
        <f>ОДДС!$AD$23</f>
        <v>-70375.183030477841</v>
      </c>
      <c r="AE54" s="110">
        <f>ОДДС!$AE$23</f>
        <v>-71086.098002916173</v>
      </c>
      <c r="AF54" s="110">
        <f>ОДДС!$AF$23</f>
        <v>-71474.418295470328</v>
      </c>
      <c r="AG54" s="110">
        <f>ОДДС!$AG$23</f>
        <v>-71531.010680394858</v>
      </c>
      <c r="AH54" s="110">
        <f>ОДДС!$AH$23</f>
        <v>-69248.687828789669</v>
      </c>
      <c r="AI54" s="110">
        <f>ОДДС!$AI$23</f>
        <v>-66644.141929974721</v>
      </c>
      <c r="AJ54" s="110">
        <f>ОДДС!$AJ$23</f>
        <v>-63707.380846990309</v>
      </c>
      <c r="AK54" s="110">
        <f>ОДДС!$AK$23</f>
        <v>-60430.953047158444</v>
      </c>
      <c r="AL54" s="110">
        <f>ОДДС!$AL$23</f>
        <v>-56806.822215343207</v>
      </c>
      <c r="AM54" s="110">
        <f>ОДДС!$AM$23</f>
        <v>-52824.777812320841</v>
      </c>
      <c r="AN54" s="110">
        <f>ОДДС!$AN$23</f>
        <v>-48494.686511371248</v>
      </c>
      <c r="AO54" s="110">
        <f>ОДДС!$AO$23</f>
        <v>-43773.697159771924</v>
      </c>
      <c r="AP54" s="110">
        <f>ОДДС!$AP$23</f>
        <v>-38653.250769012782</v>
      </c>
      <c r="AQ54" s="110">
        <f>ОДДС!$AQ$23</f>
        <v>-33121.356170182342</v>
      </c>
      <c r="AR54" s="110">
        <f>ОДДС!$AR$23</f>
        <v>-27169.572478498128</v>
      </c>
      <c r="AS54" s="110">
        <f>ОДДС!$AS$23</f>
        <v>-20787.080452128288</v>
      </c>
      <c r="AT54" s="110">
        <f>ОДДС!$AT$23</f>
        <v>-13964.036525780779</v>
      </c>
      <c r="AU54" s="110">
        <f>ОДДС!$AU$23</f>
        <v>-6689.4156923248393</v>
      </c>
      <c r="AV54" s="110">
        <f>ОДДС!$AV$23</f>
        <v>1047.2516033891916</v>
      </c>
      <c r="AW54" s="110">
        <f>ОДДС!$AW$23</f>
        <v>9258.1045929465345</v>
      </c>
      <c r="AX54" s="110">
        <f>ОДДС!$AX$23</f>
        <v>17953.919340028166</v>
      </c>
      <c r="AY54" s="110">
        <f>ОДДС!$AY$23</f>
        <v>27145.543562872899</v>
      </c>
    </row>
    <row r="55" spans="1:51" s="110" customFormat="1" ht="11" customHeight="1" x14ac:dyDescent="0.35">
      <c r="A55" s="109" t="s">
        <v>287</v>
      </c>
      <c r="D55" s="110">
        <f>ОДДС!$D$22</f>
        <v>51647</v>
      </c>
      <c r="E55" s="110">
        <f>ОДДС!$E$22</f>
        <v>-7568.6</v>
      </c>
      <c r="F55" s="110">
        <f>ОДДС!$F$22</f>
        <v>-7189.2080000000005</v>
      </c>
      <c r="G55" s="110">
        <f>ОДДС!$G$22</f>
        <v>-6809.2241066666675</v>
      </c>
      <c r="H55" s="110">
        <f>ОДДС!$H$22</f>
        <v>-6430.6537614222234</v>
      </c>
      <c r="I55" s="110">
        <f>ОДДС!$I$22</f>
        <v>-6052.5024782411865</v>
      </c>
      <c r="J55" s="110">
        <f>ОДДС!$J$22</f>
        <v>-7674.7758446177359</v>
      </c>
      <c r="K55" s="110">
        <f>ОДДС!$K$22</f>
        <v>-7264.8128558793051</v>
      </c>
      <c r="L55" s="110">
        <f>ОДДС!$L$22</f>
        <v>-6856.2859161799188</v>
      </c>
      <c r="M55" s="110">
        <f>ОДДС!$M$22</f>
        <v>-6448.2008395067623</v>
      </c>
      <c r="N55" s="110">
        <f>ОДДС!$N$22</f>
        <v>-6040.5635173668525</v>
      </c>
      <c r="O55" s="110">
        <f>ОДДС!$O$22</f>
        <v>-5631.3799198206325</v>
      </c>
      <c r="P55" s="110">
        <f>ОДДС!$P$22</f>
        <v>-5395.5525999585334</v>
      </c>
      <c r="Q55" s="110">
        <f>ОДДС!$Q$22</f>
        <v>-5104.9487938714492</v>
      </c>
      <c r="R55" s="110">
        <f>ОДДС!$R$22</f>
        <v>-4807.9576515655272</v>
      </c>
      <c r="S55" s="110">
        <f>ОДДС!$S$22</f>
        <v>-4502.3006957829648</v>
      </c>
      <c r="T55" s="110">
        <f>ОДДС!$T$22</f>
        <v>-4190.3550457242645</v>
      </c>
      <c r="U55" s="110">
        <f>ОДДС!$U$22</f>
        <v>-3869.2323582449071</v>
      </c>
      <c r="V55" s="110">
        <f>ОДДС!$V$22</f>
        <v>-3541.1557328569061</v>
      </c>
      <c r="W55" s="110">
        <f>ОДДС!$W$22</f>
        <v>-3203.825908549924</v>
      </c>
      <c r="X55" s="110">
        <f>ОДДС!$X$22</f>
        <v>-2859.2429803910063</v>
      </c>
      <c r="Y55" s="110">
        <f>ОДДС!$Y$22</f>
        <v>-2505.0444651007706</v>
      </c>
      <c r="Z55" s="110">
        <f>ОДДС!$Z$22</f>
        <v>-2177.0671872627017</v>
      </c>
      <c r="AA55" s="110">
        <f>ОДДС!$AA$22</f>
        <v>-1902.1663469187692</v>
      </c>
      <c r="AB55" s="110">
        <f>ОДДС!$AB$22</f>
        <v>-1635.4918568507424</v>
      </c>
      <c r="AC55" s="110">
        <f>ОДДС!$AC$22</f>
        <v>-1335.2535315050404</v>
      </c>
      <c r="AD55" s="110">
        <f>ОДДС!$AD$22</f>
        <v>-1026.3806361930554</v>
      </c>
      <c r="AE55" s="110">
        <f>ОДДС!$AE$22</f>
        <v>-710.91497243833123</v>
      </c>
      <c r="AF55" s="110">
        <f>ОДДС!$AF$22</f>
        <v>-388.320292554155</v>
      </c>
      <c r="AG55" s="110">
        <f>ОДДС!$AG$22</f>
        <v>-56.592384924524595</v>
      </c>
      <c r="AH55" s="110">
        <f>ОДДС!$AH$22</f>
        <v>2282.3228516051936</v>
      </c>
      <c r="AI55" s="110">
        <f>ОДДС!$AI$22</f>
        <v>2604.5458988149508</v>
      </c>
      <c r="AJ55" s="110">
        <f>ОДДС!$AJ$22</f>
        <v>2936.7610829844111</v>
      </c>
      <c r="AK55" s="110">
        <f>ОДДС!$AK$22</f>
        <v>3276.4277998318685</v>
      </c>
      <c r="AL55" s="110">
        <f>ОДДС!$AL$22</f>
        <v>3624.1308318152396</v>
      </c>
      <c r="AM55" s="110">
        <f>ОДДС!$AM$22</f>
        <v>3982.0444030223689</v>
      </c>
      <c r="AN55" s="110">
        <f>ОДДС!$AN$22</f>
        <v>4330.0913009495935</v>
      </c>
      <c r="AO55" s="110">
        <f>ОДДС!$AO$22</f>
        <v>4720.9893515993244</v>
      </c>
      <c r="AP55" s="110">
        <f>ОДДС!$AP$22</f>
        <v>5120.446390759138</v>
      </c>
      <c r="AQ55" s="110">
        <f>ОДДС!$AQ$22</f>
        <v>5531.8945988304376</v>
      </c>
      <c r="AR55" s="110">
        <f>ОДДС!$AR$22</f>
        <v>5951.7836916842143</v>
      </c>
      <c r="AS55" s="110">
        <f>ОДДС!$AS$22</f>
        <v>6382.4920263698396</v>
      </c>
      <c r="AT55" s="110">
        <f>ОДДС!$AT$22</f>
        <v>6823.0439263475082</v>
      </c>
      <c r="AU55" s="110">
        <f>ОДДС!$AU$22</f>
        <v>7274.6208334559396</v>
      </c>
      <c r="AV55" s="110">
        <f>ОДДС!$AV$22</f>
        <v>7736.6672957140308</v>
      </c>
      <c r="AW55" s="110">
        <f>ОДДС!$AW$22</f>
        <v>8210.8529895573429</v>
      </c>
      <c r="AX55" s="110">
        <f>ОДДС!$AX$22</f>
        <v>8695.814747081633</v>
      </c>
      <c r="AY55" s="110">
        <f>ОДДС!$AY$22</f>
        <v>9191.6242228447336</v>
      </c>
    </row>
    <row r="56" spans="1:51" s="110" customFormat="1" ht="11" customHeight="1" x14ac:dyDescent="0.35">
      <c r="A56" s="109" t="s">
        <v>271</v>
      </c>
      <c r="D56" s="110">
        <f>'P&amp;L'!$D$33</f>
        <v>0</v>
      </c>
      <c r="E56" s="110">
        <f>'P&amp;L'!$E$33</f>
        <v>0</v>
      </c>
      <c r="F56" s="110">
        <f>'P&amp;L'!$F$33</f>
        <v>0</v>
      </c>
      <c r="G56" s="110">
        <f>'P&amp;L'!$G$33</f>
        <v>0</v>
      </c>
      <c r="H56" s="110">
        <f>'P&amp;L'!$H$33</f>
        <v>0</v>
      </c>
      <c r="I56" s="110">
        <f>'P&amp;L'!$I$33</f>
        <v>0</v>
      </c>
      <c r="J56" s="110">
        <f>'P&amp;L'!$J$33</f>
        <v>0</v>
      </c>
      <c r="K56" s="110">
        <f>'P&amp;L'!$K$33</f>
        <v>0</v>
      </c>
      <c r="L56" s="110">
        <f>'P&amp;L'!$L$33</f>
        <v>0</v>
      </c>
      <c r="M56" s="110">
        <f>'P&amp;L'!$M$33</f>
        <v>0</v>
      </c>
      <c r="N56" s="110">
        <f>'P&amp;L'!$N$33</f>
        <v>0</v>
      </c>
      <c r="O56" s="110">
        <f>'P&amp;L'!$O$33</f>
        <v>0</v>
      </c>
      <c r="P56" s="110">
        <f>'P&amp;L'!$P$33</f>
        <v>-4.565953823033837</v>
      </c>
      <c r="Q56" s="110">
        <f>'P&amp;L'!$Q$33</f>
        <v>-1.9949997151548993</v>
      </c>
      <c r="R56" s="110">
        <f>'P&amp;L'!$R$33</f>
        <v>-1.1362167293161713</v>
      </c>
      <c r="S56" s="110">
        <f>'P&amp;L'!$S$33</f>
        <v>-0.70768325271068722</v>
      </c>
      <c r="T56" s="110">
        <f>'P&amp;L'!$T$33</f>
        <v>-0.44995529264858025</v>
      </c>
      <c r="U56" s="110">
        <f>'P&amp;L'!$U$33</f>
        <v>-0.27841474346313388</v>
      </c>
      <c r="V56" s="110">
        <f>'P&amp;L'!$V$33</f>
        <v>-0.1556914523070112</v>
      </c>
      <c r="W56" s="110">
        <f>'P&amp;L'!$W$33</f>
        <v>-6.3795774306851252E-2</v>
      </c>
      <c r="X56" s="110">
        <f>'P&amp;L'!$X$33</f>
        <v>7.7916047407212037E-3</v>
      </c>
      <c r="Y56" s="110">
        <f>'P&amp;L'!$Y$33</f>
        <v>6.4970716255326813E-2</v>
      </c>
      <c r="Z56" s="110">
        <f>'P&amp;L'!$Z$33</f>
        <v>0.11180319989724519</v>
      </c>
      <c r="AA56" s="110">
        <f>'P&amp;L'!$AA$33</f>
        <v>0.15079262826843304</v>
      </c>
      <c r="AB56" s="110">
        <f>'P&amp;L'!$AB$33</f>
        <v>0.18531325204416296</v>
      </c>
      <c r="AC56" s="110">
        <f>'P&amp;L'!$AC$33</f>
        <v>0.21473507787739049</v>
      </c>
      <c r="AD56" s="110">
        <f>'P&amp;L'!$AD$33</f>
        <v>0.24003944144179376</v>
      </c>
      <c r="AE56" s="110">
        <f>'P&amp;L'!$AE$33</f>
        <v>0.26206494597214264</v>
      </c>
      <c r="AF56" s="110">
        <f>'P&amp;L'!$AF$33</f>
        <v>0.28143732826041001</v>
      </c>
      <c r="AG56" s="110">
        <f>'P&amp;L'!$AG$33</f>
        <v>0.29856032397940757</v>
      </c>
      <c r="AH56" s="110">
        <f>'P&amp;L'!$AH$33</f>
        <v>0.3138179573943839</v>
      </c>
      <c r="AI56" s="110">
        <f>'P&amp;L'!$AI$33</f>
        <v>0.32753285982711577</v>
      </c>
      <c r="AJ56" s="110">
        <f>'P&amp;L'!$AJ$33</f>
        <v>0.3398861052676313</v>
      </c>
      <c r="AK56" s="110">
        <f>'P&amp;L'!$AK$33</f>
        <v>0.35108685126925243</v>
      </c>
      <c r="AL56" s="110">
        <f>'P&amp;L'!$AL$33</f>
        <v>0.36130379708863092</v>
      </c>
      <c r="AM56" s="110">
        <f>'P&amp;L'!$AM$33</f>
        <v>0.37063431318327544</v>
      </c>
      <c r="AN56" s="110">
        <f>'P&amp;L'!$AN$33</f>
        <v>0.37961501255952795</v>
      </c>
      <c r="AO56" s="110">
        <f>'P&amp;L'!$AO$33</f>
        <v>0.38785286630810528</v>
      </c>
      <c r="AP56" s="110">
        <f>'P&amp;L'!$AP$33</f>
        <v>0.39545431310217205</v>
      </c>
      <c r="AQ56" s="110">
        <f>'P&amp;L'!$AQ$33</f>
        <v>0.40246410397004817</v>
      </c>
      <c r="AR56" s="110">
        <f>'P&amp;L'!$AR$33</f>
        <v>0.40896409759641578</v>
      </c>
      <c r="AS56" s="110">
        <f>'P&amp;L'!$AS$33</f>
        <v>0.41500193106147054</v>
      </c>
      <c r="AT56" s="110">
        <f>'P&amp;L'!$AT$33</f>
        <v>0.42063081988391438</v>
      </c>
      <c r="AU56" s="110">
        <f>'P&amp;L'!$AU$33</f>
        <v>0.42588832085778827</v>
      </c>
      <c r="AV56" s="110">
        <f>'P&amp;L'!$AV$33</f>
        <v>0.43081434901917032</v>
      </c>
      <c r="AW56" s="110">
        <f>'P&amp;L'!$AW$33</f>
        <v>0.43543115100472157</v>
      </c>
      <c r="AX56" s="110">
        <f>'P&amp;L'!$AX$33</f>
        <v>0.43976860578969512</v>
      </c>
      <c r="AY56" s="110">
        <f>'P&amp;L'!$AY$33</f>
        <v>0.44385542168674696</v>
      </c>
    </row>
    <row r="57" spans="1:51" s="110" customFormat="1" ht="11" customHeight="1" x14ac:dyDescent="0.35">
      <c r="A57" s="109" t="s">
        <v>270</v>
      </c>
      <c r="D57" s="110">
        <f>'P&amp;L'!$D$35</f>
        <v>0</v>
      </c>
      <c r="E57" s="110">
        <f>'P&amp;L'!$E$35</f>
        <v>0</v>
      </c>
      <c r="F57" s="110">
        <f>'P&amp;L'!$F$35</f>
        <v>0</v>
      </c>
      <c r="G57" s="110">
        <f>'P&amp;L'!$G$35</f>
        <v>0</v>
      </c>
      <c r="H57" s="110">
        <f>'P&amp;L'!$H$35</f>
        <v>0</v>
      </c>
      <c r="I57" s="110">
        <f>'P&amp;L'!$I$35</f>
        <v>0</v>
      </c>
      <c r="J57" s="110">
        <f>'P&amp;L'!$J$35</f>
        <v>0</v>
      </c>
      <c r="K57" s="110">
        <f>'P&amp;L'!$K$35</f>
        <v>0</v>
      </c>
      <c r="L57" s="110">
        <f>'P&amp;L'!$L$35</f>
        <v>0</v>
      </c>
      <c r="M57" s="110">
        <f>'P&amp;L'!$M$35</f>
        <v>0</v>
      </c>
      <c r="N57" s="110">
        <f>'P&amp;L'!$N$35</f>
        <v>0</v>
      </c>
      <c r="O57" s="110">
        <f>'P&amp;L'!$O$35</f>
        <v>0</v>
      </c>
      <c r="P57" s="110">
        <f>'P&amp;L'!$P$35</f>
        <v>-6.3205514397191074</v>
      </c>
      <c r="Q57" s="110">
        <f>'P&amp;L'!$Q$35</f>
        <v>-2.8310625322206948</v>
      </c>
      <c r="R57" s="110">
        <f>'P&amp;L'!$R$35</f>
        <v>-1.6661368059012953</v>
      </c>
      <c r="S57" s="110">
        <f>'P&amp;L'!$S$35</f>
        <v>-1.0852608018589569</v>
      </c>
      <c r="T57" s="110">
        <f>'P&amp;L'!$T$35</f>
        <v>-0.73631198583482171</v>
      </c>
      <c r="U57" s="110">
        <f>'P&amp;L'!$U$35</f>
        <v>-0.50433512385472279</v>
      </c>
      <c r="V57" s="110">
        <f>'P&amp;L'!$V$35</f>
        <v>-0.33864375063768515</v>
      </c>
      <c r="W57" s="110">
        <f>'P&amp;L'!$W$35</f>
        <v>-0.21477510346646009</v>
      </c>
      <c r="X57" s="110">
        <f>'P&amp;L'!$X$35</f>
        <v>-0.11848199609884916</v>
      </c>
      <c r="Y57" s="110">
        <f>'P&amp;L'!$Y$35</f>
        <v>-4.1725062214546492E-2</v>
      </c>
      <c r="Z57" s="110">
        <f>'P&amp;L'!$Z$35</f>
        <v>1.5740743368204035E-2</v>
      </c>
      <c r="AA57" s="110">
        <f>'P&amp;L'!$AA$35</f>
        <v>5.4802409573143508E-2</v>
      </c>
      <c r="AB57" s="110">
        <f>'P&amp;L'!$AB$35</f>
        <v>8.9104774964061287E-2</v>
      </c>
      <c r="AC57" s="110">
        <f>'P&amp;L'!$AC$35</f>
        <v>0.11825332216953895</v>
      </c>
      <c r="AD57" s="110">
        <f>'P&amp;L'!$AD$35</f>
        <v>0.14325238299532408</v>
      </c>
      <c r="AE57" s="110">
        <f>'P&amp;L'!$AE$35</f>
        <v>0.16494338663006533</v>
      </c>
      <c r="AF57" s="110">
        <f>'P&amp;L'!$AF$35</f>
        <v>0.18395430255186743</v>
      </c>
      <c r="AG57" s="110">
        <f>'P&amp;L'!$AG$35</f>
        <v>0.20070284889592702</v>
      </c>
      <c r="AH57" s="110">
        <f>'P&amp;L'!$AH$35</f>
        <v>0.2155737112854493</v>
      </c>
      <c r="AI57" s="110">
        <f>'P&amp;L'!$AI$35</f>
        <v>0.22712652084876292</v>
      </c>
      <c r="AJ57" s="110">
        <f>'P&amp;L'!$AJ$35</f>
        <v>0.23752959327085255</v>
      </c>
      <c r="AK57" s="110">
        <f>'P&amp;L'!$AK$35</f>
        <v>0.24695920046111269</v>
      </c>
      <c r="AL57" s="110">
        <f>'P&amp;L'!$AL$35</f>
        <v>0.25555751916027969</v>
      </c>
      <c r="AM57" s="110">
        <f>'P&amp;L'!$AM$35</f>
        <v>0.26340754597373134</v>
      </c>
      <c r="AN57" s="110">
        <f>'P&amp;L'!$AN$35</f>
        <v>0.27095143439725872</v>
      </c>
      <c r="AO57" s="110">
        <f>'P&amp;L'!$AO$35</f>
        <v>0.27786910028941492</v>
      </c>
      <c r="AP57" s="110">
        <f>'P&amp;L'!$AP$35</f>
        <v>0.2842498309020135</v>
      </c>
      <c r="AQ57" s="110">
        <f>'P&amp;L'!$AQ$35</f>
        <v>0.29013214390323827</v>
      </c>
      <c r="AR57" s="110">
        <f>'P&amp;L'!$AR$35</f>
        <v>0.29558459914871804</v>
      </c>
      <c r="AS57" s="110">
        <f>'P&amp;L'!$AS$35</f>
        <v>0.30064756482443544</v>
      </c>
      <c r="AT57" s="110">
        <f>'P&amp;L'!$AT$35</f>
        <v>0.30536574653306059</v>
      </c>
      <c r="AU57" s="110">
        <f>'P&amp;L'!$AU$35</f>
        <v>0.30977091311466948</v>
      </c>
      <c r="AV57" s="110">
        <f>'P&amp;L'!$AV$35</f>
        <v>0.3138965932187332</v>
      </c>
      <c r="AW57" s="110">
        <f>'P&amp;L'!$AW$35</f>
        <v>0.31776182983112722</v>
      </c>
      <c r="AX57" s="110">
        <f>'P&amp;L'!$AX$35</f>
        <v>0.32139175333159559</v>
      </c>
      <c r="AY57" s="110">
        <f>'P&amp;L'!$AY$35</f>
        <v>0.32481042938794347</v>
      </c>
    </row>
  </sheetData>
  <mergeCells count="13">
    <mergeCell ref="B4:F4"/>
    <mergeCell ref="G3:K3"/>
    <mergeCell ref="A1:W1"/>
    <mergeCell ref="M27:V27"/>
    <mergeCell ref="B27:K27"/>
    <mergeCell ref="B3:F3"/>
    <mergeCell ref="R3:V3"/>
    <mergeCell ref="M6:V6"/>
    <mergeCell ref="B6:K6"/>
    <mergeCell ref="R4:V4"/>
    <mergeCell ref="M3:Q3"/>
    <mergeCell ref="G4:K4"/>
    <mergeCell ref="M4:Q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НАСТРОЙКИ</vt:lpstr>
      <vt:lpstr>ДОПУЩЕНИЯ</vt:lpstr>
      <vt:lpstr>P&amp;L</vt:lpstr>
      <vt:lpstr>ОДДС</vt:lpstr>
      <vt:lpstr>БАЛАНС</vt:lpstr>
      <vt:lpstr>WACC</vt:lpstr>
      <vt:lpstr>DCF</vt:lpstr>
      <vt:lpstr>ИТОГИ</vt:lpstr>
      <vt:lpstr>ГРАФИКИ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</cp:lastModifiedBy>
  <dcterms:created xsi:type="dcterms:W3CDTF">2026-05-05T13:56:19Z</dcterms:created>
  <dcterms:modified xsi:type="dcterms:W3CDTF">2026-05-05T13:57:48Z</dcterms:modified>
</cp:coreProperties>
</file>